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4.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5.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C:\Users\JYUTAKU-n\Desktop\50940788733001744081019\"/>
    </mc:Choice>
  </mc:AlternateContent>
  <xr:revisionPtr revIDLastSave="0" documentId="13_ncr:1_{9A8A8A80-C57C-46CB-AD58-0D1546B9822F}" xr6:coauthVersionLast="47" xr6:coauthVersionMax="47" xr10:uidLastSave="{00000000-0000-0000-0000-000000000000}"/>
  <workbookProtection workbookAlgorithmName="SHA-512" workbookHashValue="SWfDtEg2zV0DRcLRHLoS7RbHb3toRjwsAfLW4GZK5U0vbW3LiANs7k2NekZhT+OixjepzPzeioBqjLi/xpl4KQ==" workbookSaltValue="YMkGThNE0+IK2+nwmWRD6A==" workbookSpinCount="100000" lockStructure="1"/>
  <bookViews>
    <workbookView xWindow="-120" yWindow="-120" windowWidth="29040" windowHeight="15840" tabRatio="793" firstSheet="1" activeTab="14" xr2:uid="{00000000-000D-0000-FFFF-FFFF00000000}"/>
  </bookViews>
  <sheets>
    <sheet name="本ツールについて" sheetId="27" r:id="rId1"/>
    <sheet name="A 最初に入力してください　基本情報" sheetId="3" r:id="rId2"/>
    <sheet name="B 仕様入力シート　１２３４地域" sheetId="33" r:id="rId3"/>
    <sheet name="窓のプルダウン_非表示" sheetId="20" state="hidden" r:id="rId4"/>
    <sheet name="B 仕様入力シート　５６７地域" sheetId="11" r:id="rId5"/>
    <sheet name="B 仕様入力シート　８地域" sheetId="32" r:id="rId6"/>
    <sheet name="非表示_出力帳票へのリンク" sheetId="34" state="hidden" r:id="rId7"/>
    <sheet name="C 仕様表（仕様基準）" sheetId="31" r:id="rId8"/>
    <sheet name="プルダウン項目_非表示" sheetId="16" state="hidden" r:id="rId9"/>
    <sheet name="ドアのプルダウン_非表示" sheetId="21" state="hidden" r:id="rId10"/>
    <sheet name="断熱材_非表示" sheetId="17" state="hidden" r:id="rId11"/>
    <sheet name="仕様基準-省エネ基準_非表示" sheetId="28" state="hidden" r:id="rId12"/>
    <sheet name="設備メモ_非表示" sheetId="36" state="hidden" r:id="rId13"/>
    <sheet name="登録値_断熱材λ値" sheetId="18" r:id="rId14"/>
    <sheet name="登録値_窓、ドアのU値､ηd値" sheetId="19" r:id="rId15"/>
    <sheet name="改定後_地域区分_非表示" sheetId="26" state="hidden" r:id="rId16"/>
  </sheets>
  <definedNames>
    <definedName name="_xlnm.Print_Area" localSheetId="2">'B 仕様入力シート　１２３４地域'!$A$1:$R$83</definedName>
    <definedName name="都道府県名">改定後_地域区分_非表示!$L$4:$L$50</definedName>
    <definedName name="島根県">改定後_地域区分_非表示!$C$1314:$C$1333</definedName>
    <definedName name="東京都">改定後_地域区分_非表示!$C$650:$C$689</definedName>
    <definedName name="徳島県">改定後_地域区分_非表示!$C$1410:$C$1433</definedName>
    <definedName name="栃木県">改定後_地域区分_非表示!$C$468:$C$494</definedName>
    <definedName name="奈良県">改定後_地域区分_非表示!$C$1220:$C$1260</definedName>
    <definedName name="二層複層ガラス_Low_E">窓のプルダウン_非表示!$N$18:$N$19</definedName>
    <definedName name="二層複層ガラス_一般">窓のプルダウン_非表示!$N$22</definedName>
    <definedName name="富山県">改定後_地域区分_非表示!$C$753:$C$767</definedName>
    <definedName name="福井県">改定後_地域区分_非表示!$C$790:$C$806</definedName>
    <definedName name="福岡県">改定後_地域区分_非表示!$C$1494:$C$1552</definedName>
    <definedName name="福島県">改定後_地域区分_非表示!$C$361:$C$421</definedName>
    <definedName name="複合材料製">ドアのプルダウン_非表示!$E$14:$E$21</definedName>
    <definedName name="複合材料製_金属製ハニカムフラッシュ構造_ドア内ガラスあり">ドアのプルダウン_非表示!$G$72:$G$74</definedName>
    <definedName name="複合材料製_金属製ハニカムフラッシュ構造_ドア内ガラスなし">ドアのプルダウン_非表示!$G$69</definedName>
    <definedName name="複合材料製_金属製フラッシュ構造_ドア内ガラスあり">ドアのプルダウン_非表示!$G$64:$G$66</definedName>
    <definedName name="複合材料製_金属製フラッシュ構造_ドア内ガラスなし">ドアのプルダウン_非表示!$G$61</definedName>
    <definedName name="複合材料製_金属製高断熱フラッシュ構造_ドア内ガラスあり">ドアのプルダウン_非表示!$G$44:$G$48</definedName>
    <definedName name="複合材料製_金属製高断熱フラッシュ構造_ドア内ガラスなし">ドアのプルダウン_非表示!$G$41</definedName>
    <definedName name="複合材料製_金属製断熱フラッシュ構造_ドア内ガラスあり">ドアのプルダウン_非表示!$G$54:$G$58</definedName>
    <definedName name="複合材料製_金属製断熱フラッシュ構造_ドア内ガラスなし">ドアのプルダウン_非表示!$G$51</definedName>
    <definedName name="兵庫県">改定後_地域区分_非表示!$C$1177:$C$1219</definedName>
    <definedName name="北海道">改定後_地域区分_非表示!$C$4:$C$186</definedName>
    <definedName name="和歌山県">改定後_地域区分_非表示!$C$1261:$C$1294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713" i="26" l="1"/>
  <c r="D1712" i="26"/>
  <c r="D1711" i="26"/>
  <c r="D1710" i="26"/>
  <c r="D1709" i="26"/>
  <c r="D1708" i="26"/>
  <c r="D1707" i="26"/>
  <c r="D1706" i="26"/>
  <c r="D1705" i="26"/>
  <c r="D1704" i="26"/>
  <c r="D1703" i="26"/>
  <c r="D1702" i="26"/>
  <c r="D1701" i="26"/>
  <c r="D1700" i="26"/>
  <c r="D1699" i="26"/>
  <c r="D1698" i="26"/>
  <c r="D1697" i="26"/>
  <c r="D1696" i="26"/>
  <c r="D1695" i="26"/>
  <c r="D1694" i="26"/>
  <c r="D1693" i="26"/>
  <c r="D1692" i="26"/>
  <c r="D1691" i="26"/>
  <c r="D1690" i="26"/>
  <c r="D1689" i="26"/>
  <c r="D1688" i="26"/>
  <c r="D1687" i="26"/>
  <c r="D1686" i="26"/>
  <c r="D1685" i="26"/>
  <c r="D1684" i="26"/>
  <c r="D1683" i="26"/>
  <c r="D1682" i="26"/>
  <c r="D1681" i="26"/>
  <c r="D1680" i="26"/>
  <c r="D1679" i="26"/>
  <c r="D1678" i="26"/>
  <c r="D1677" i="26"/>
  <c r="D1676" i="26"/>
  <c r="D1675" i="26"/>
  <c r="D1674" i="26"/>
  <c r="D1673" i="26"/>
  <c r="D1672" i="26"/>
  <c r="D1671" i="26"/>
  <c r="D1670" i="26"/>
  <c r="D1669" i="26"/>
  <c r="D1668" i="26"/>
  <c r="D1667" i="26"/>
  <c r="D1666" i="26"/>
  <c r="D1665" i="26"/>
  <c r="D1664" i="26"/>
  <c r="D1663" i="26"/>
  <c r="D1662" i="26"/>
  <c r="D1661" i="26"/>
  <c r="D1660" i="26"/>
  <c r="D1659" i="26"/>
  <c r="D1658" i="26"/>
  <c r="D1657" i="26"/>
  <c r="D1656" i="26"/>
  <c r="D1655" i="26"/>
  <c r="D1654" i="26"/>
  <c r="D1653" i="26"/>
  <c r="D1652" i="26"/>
  <c r="D1651" i="26"/>
  <c r="D1650" i="26"/>
  <c r="D1649" i="26"/>
  <c r="D1648" i="26"/>
  <c r="D1647" i="26"/>
  <c r="D1646" i="26"/>
  <c r="D1645" i="26"/>
  <c r="D1644" i="26"/>
  <c r="D1643" i="26"/>
  <c r="D1642" i="26"/>
  <c r="D1641" i="26"/>
  <c r="D1640" i="26"/>
  <c r="D1639" i="26"/>
  <c r="D1638" i="26"/>
  <c r="D1637" i="26"/>
  <c r="D1636" i="26"/>
  <c r="D1635" i="26"/>
  <c r="D1634" i="26"/>
  <c r="D1633" i="26"/>
  <c r="D1632" i="26"/>
  <c r="D1631" i="26"/>
  <c r="D1630" i="26"/>
  <c r="D1629" i="26"/>
  <c r="D1628" i="26"/>
  <c r="D1627" i="26"/>
  <c r="D1626" i="26"/>
  <c r="D1625" i="26"/>
  <c r="D1624" i="26"/>
  <c r="D1623" i="26"/>
  <c r="D1622" i="26"/>
  <c r="D1621" i="26"/>
  <c r="D1620" i="26"/>
  <c r="D1619" i="26"/>
  <c r="D1618" i="26"/>
  <c r="D1617" i="26"/>
  <c r="D1616" i="26"/>
  <c r="D1615" i="26"/>
  <c r="D1614" i="26"/>
  <c r="D1613" i="26"/>
  <c r="D1612" i="26"/>
  <c r="D1611" i="26"/>
  <c r="D1610" i="26"/>
  <c r="D1609" i="26"/>
  <c r="D1608" i="26"/>
  <c r="D1607" i="26"/>
  <c r="D1606" i="26"/>
  <c r="D1605" i="26"/>
  <c r="D1604" i="26"/>
  <c r="D1603" i="26"/>
  <c r="D1602" i="26"/>
  <c r="D1601" i="26"/>
  <c r="D1600" i="26"/>
  <c r="D1599" i="26"/>
  <c r="D1598" i="26"/>
  <c r="D1597" i="26"/>
  <c r="D1596" i="26"/>
  <c r="D1595" i="26"/>
  <c r="D1594" i="26"/>
  <c r="D1593" i="26"/>
  <c r="D1592" i="26"/>
  <c r="D1591" i="26"/>
  <c r="D1590" i="26"/>
  <c r="D1589" i="26"/>
  <c r="D1588" i="26"/>
  <c r="D1587" i="26"/>
  <c r="D1586" i="26"/>
  <c r="D1585" i="26"/>
  <c r="D1584" i="26"/>
  <c r="D1583" i="26"/>
  <c r="D1582" i="26"/>
  <c r="D1581" i="26"/>
  <c r="D1580" i="26"/>
  <c r="D1579" i="26"/>
  <c r="D1578" i="26"/>
  <c r="D1577" i="26"/>
  <c r="D1576" i="26"/>
  <c r="D1575" i="26"/>
  <c r="D1574" i="26"/>
  <c r="D1573" i="26"/>
  <c r="D1572" i="26"/>
  <c r="D1571" i="26"/>
  <c r="D1570" i="26"/>
  <c r="D1569" i="26"/>
  <c r="D1568" i="26"/>
  <c r="D1567" i="26"/>
  <c r="D1566" i="26"/>
  <c r="D1565" i="26"/>
  <c r="D1564" i="26"/>
  <c r="D1563" i="26"/>
  <c r="D1562" i="26"/>
  <c r="D1561" i="26"/>
  <c r="D1560" i="26"/>
  <c r="D1559" i="26"/>
  <c r="D1558" i="26"/>
  <c r="D1557" i="26"/>
  <c r="D1556" i="26"/>
  <c r="D1555" i="26"/>
  <c r="D1554" i="26"/>
  <c r="D1553" i="26"/>
  <c r="D1552" i="26"/>
  <c r="D1551" i="26"/>
  <c r="D1550" i="26"/>
  <c r="D1549" i="26"/>
  <c r="D1548" i="26"/>
  <c r="D1547" i="26"/>
  <c r="D1546" i="26"/>
  <c r="D1545" i="26"/>
  <c r="D1544" i="26"/>
  <c r="D1543" i="26"/>
  <c r="D1542" i="26"/>
  <c r="D1541" i="26"/>
  <c r="D1540" i="26"/>
  <c r="D1539" i="26"/>
  <c r="D1538" i="26"/>
  <c r="D1537" i="26"/>
  <c r="D1536" i="26"/>
  <c r="D1535" i="26"/>
  <c r="D1534" i="26"/>
  <c r="D1533" i="26"/>
  <c r="D1532" i="26"/>
  <c r="D1531" i="26"/>
  <c r="D1530" i="26"/>
  <c r="D1529" i="26"/>
  <c r="D1528" i="26"/>
  <c r="D1527" i="26"/>
  <c r="D1526" i="26"/>
  <c r="D1525" i="26"/>
  <c r="D1524" i="26"/>
  <c r="D1523" i="26"/>
  <c r="D1522" i="26"/>
  <c r="D1521" i="26"/>
  <c r="D1520" i="26"/>
  <c r="D1519" i="26"/>
  <c r="D1518" i="26"/>
  <c r="D1517" i="26"/>
  <c r="D1516" i="26"/>
  <c r="D1515" i="26"/>
  <c r="D1514" i="26"/>
  <c r="D1513" i="26"/>
  <c r="D1512" i="26"/>
  <c r="D1511" i="26"/>
  <c r="D1510" i="26"/>
  <c r="D1509" i="26"/>
  <c r="D1508" i="26"/>
  <c r="D1507" i="26"/>
  <c r="D1506" i="26"/>
  <c r="D1505" i="26"/>
  <c r="D1504" i="26"/>
  <c r="D1503" i="26"/>
  <c r="D1502" i="26"/>
  <c r="D1501" i="26"/>
  <c r="D1500" i="26"/>
  <c r="D1499" i="26"/>
  <c r="D1498" i="26"/>
  <c r="D1497" i="26"/>
  <c r="D1496" i="26"/>
  <c r="D1495" i="26"/>
  <c r="D1494" i="26"/>
  <c r="D1493" i="26"/>
  <c r="D1492" i="26"/>
  <c r="D1491" i="26"/>
  <c r="D1490" i="26"/>
  <c r="D1489" i="26"/>
  <c r="D1488" i="26"/>
  <c r="D1487" i="26"/>
  <c r="D1486" i="26"/>
  <c r="D1485" i="26"/>
  <c r="D1484" i="26"/>
  <c r="D1483" i="26"/>
  <c r="D1482" i="26"/>
  <c r="D1481" i="26"/>
  <c r="D1480" i="26"/>
  <c r="D1479" i="26"/>
  <c r="D1478" i="26"/>
  <c r="D1477" i="26"/>
  <c r="D1476" i="26"/>
  <c r="D1475" i="26"/>
  <c r="D1474" i="26"/>
  <c r="D1473" i="26"/>
  <c r="D1472" i="26"/>
  <c r="D1471" i="26"/>
  <c r="D1470" i="26"/>
  <c r="D1469" i="26"/>
  <c r="D1468" i="26"/>
  <c r="D1467" i="26"/>
  <c r="D1466" i="26"/>
  <c r="D1465" i="26"/>
  <c r="D1464" i="26"/>
  <c r="D1463" i="26"/>
  <c r="D1462" i="26"/>
  <c r="D1461" i="26"/>
  <c r="D1460" i="26"/>
  <c r="D1459" i="26"/>
  <c r="D1458" i="26"/>
  <c r="D1457" i="26"/>
  <c r="D1456" i="26"/>
  <c r="D1455" i="26"/>
  <c r="D1454" i="26"/>
  <c r="D1453" i="26"/>
  <c r="D1452" i="26"/>
  <c r="D1451" i="26"/>
  <c r="D1450" i="26"/>
  <c r="D1449" i="26"/>
  <c r="D1448" i="26"/>
  <c r="D1447" i="26"/>
  <c r="D1446" i="26"/>
  <c r="D1445" i="26"/>
  <c r="D1444" i="26"/>
  <c r="D1443" i="26"/>
  <c r="D1442" i="26"/>
  <c r="D1441" i="26"/>
  <c r="D1440" i="26"/>
  <c r="D1439" i="26"/>
  <c r="D1438" i="26"/>
  <c r="D1437" i="26"/>
  <c r="D1436" i="26"/>
  <c r="D1435" i="26"/>
  <c r="D1434" i="26"/>
  <c r="D1433" i="26"/>
  <c r="D1432" i="26"/>
  <c r="D1431" i="26"/>
  <c r="D1430" i="26"/>
  <c r="D1429" i="26"/>
  <c r="D1428" i="26"/>
  <c r="D1427" i="26"/>
  <c r="D1426" i="26"/>
  <c r="D1425" i="26"/>
  <c r="D1424" i="26"/>
  <c r="D1423" i="26"/>
  <c r="D1422" i="26"/>
  <c r="D1421" i="26"/>
  <c r="D1420" i="26"/>
  <c r="D1419" i="26"/>
  <c r="D1418" i="26"/>
  <c r="D1417" i="26"/>
  <c r="D1416" i="26"/>
  <c r="D1415" i="26"/>
  <c r="D1414" i="26"/>
  <c r="D1413" i="26"/>
  <c r="D1412" i="26"/>
  <c r="D1411" i="26"/>
  <c r="D1410" i="26"/>
  <c r="D1409" i="26"/>
  <c r="D1408" i="26"/>
  <c r="D1407" i="26"/>
  <c r="D1406" i="26"/>
  <c r="D1405" i="26"/>
  <c r="D1404" i="26"/>
  <c r="D1403" i="26"/>
  <c r="D1402" i="26"/>
  <c r="D1401" i="26"/>
  <c r="D1400" i="26"/>
  <c r="D1399" i="26"/>
  <c r="D1398" i="26"/>
  <c r="D1397" i="26"/>
  <c r="D1396" i="26"/>
  <c r="D1395" i="26"/>
  <c r="D1394" i="26"/>
  <c r="D1393" i="26"/>
  <c r="D1392" i="26"/>
  <c r="D1391" i="26"/>
  <c r="D1390" i="26"/>
  <c r="D1389" i="26"/>
  <c r="D1388" i="26"/>
  <c r="D1387" i="26"/>
  <c r="D1386" i="26"/>
  <c r="D1385" i="26"/>
  <c r="D1384" i="26"/>
  <c r="D1383" i="26"/>
  <c r="D1382" i="26"/>
  <c r="D1381" i="26"/>
  <c r="D1380" i="26"/>
  <c r="D1379" i="26"/>
  <c r="D1378" i="26"/>
  <c r="D1377" i="26"/>
  <c r="D1376" i="26"/>
  <c r="D1375" i="26"/>
  <c r="D1374" i="26"/>
  <c r="D1373" i="26"/>
  <c r="D1372" i="26"/>
  <c r="D1371" i="26"/>
  <c r="D1370" i="26"/>
  <c r="D1369" i="26"/>
  <c r="D1368" i="26"/>
  <c r="D1367" i="26"/>
  <c r="D1366" i="26"/>
  <c r="D1365" i="26"/>
  <c r="D1364" i="26"/>
  <c r="D1363" i="26"/>
  <c r="D1362" i="26"/>
  <c r="D1361" i="26"/>
  <c r="D1360" i="26"/>
  <c r="D1359" i="26"/>
  <c r="D1358" i="26"/>
  <c r="D1357" i="26"/>
  <c r="D1356" i="26"/>
  <c r="D1355" i="26"/>
  <c r="D1354" i="26"/>
  <c r="D1353" i="26"/>
  <c r="D1352" i="26"/>
  <c r="D1351" i="26"/>
  <c r="D1350" i="26"/>
  <c r="D1349" i="26"/>
  <c r="D1348" i="26"/>
  <c r="D1347" i="26"/>
  <c r="D1346" i="26"/>
  <c r="D1345" i="26"/>
  <c r="D1344" i="26"/>
  <c r="D1343" i="26"/>
  <c r="D1342" i="26"/>
  <c r="D1341" i="26"/>
  <c r="D1340" i="26"/>
  <c r="D1339" i="26"/>
  <c r="D1338" i="26"/>
  <c r="D1337" i="26"/>
  <c r="D1336" i="26"/>
  <c r="D1335" i="26"/>
  <c r="D1334" i="26"/>
  <c r="D1333" i="26"/>
  <c r="D1332" i="26"/>
  <c r="D1331" i="26"/>
  <c r="D1330" i="26"/>
  <c r="D1329" i="26"/>
  <c r="D1328" i="26"/>
  <c r="D1327" i="26"/>
  <c r="D1326" i="26"/>
  <c r="D1325" i="26"/>
  <c r="D1324" i="26"/>
  <c r="D1323" i="26"/>
  <c r="D1322" i="26"/>
  <c r="D1321" i="26"/>
  <c r="D1320" i="26"/>
  <c r="D1319" i="26"/>
  <c r="D1318" i="26"/>
  <c r="D1317" i="26"/>
  <c r="D1316" i="26"/>
  <c r="D1315" i="26"/>
  <c r="D1314" i="26"/>
  <c r="D1313" i="26"/>
  <c r="D1312" i="26"/>
  <c r="D1311" i="26"/>
  <c r="D1310" i="26"/>
  <c r="D1309" i="26"/>
  <c r="D1308" i="26"/>
  <c r="D1307" i="26"/>
  <c r="D1306" i="26"/>
  <c r="D1305" i="26"/>
  <c r="D1304" i="26"/>
  <c r="D1303" i="26"/>
  <c r="D1302" i="26"/>
  <c r="D1301" i="26"/>
  <c r="D1300" i="26"/>
  <c r="D1299" i="26"/>
  <c r="D1298" i="26"/>
  <c r="D1297" i="26"/>
  <c r="D1296" i="26"/>
  <c r="D1295" i="26"/>
  <c r="D1294" i="26"/>
  <c r="D1293" i="26"/>
  <c r="D1292" i="26"/>
  <c r="D1291" i="26"/>
  <c r="D1290" i="26"/>
  <c r="D1289" i="26"/>
  <c r="D1288" i="26"/>
  <c r="D1287" i="26"/>
  <c r="D1286" i="26"/>
  <c r="D1285" i="26"/>
  <c r="D1284" i="26"/>
  <c r="D1283" i="26"/>
  <c r="D1282" i="26"/>
  <c r="D1281" i="26"/>
  <c r="D1280" i="26"/>
  <c r="D1279" i="26"/>
  <c r="D1278" i="26"/>
  <c r="D1277" i="26"/>
  <c r="D1276" i="26"/>
  <c r="D1275" i="26"/>
  <c r="D1274" i="26"/>
  <c r="D1273" i="26"/>
  <c r="D1272" i="26"/>
  <c r="D1271" i="26"/>
  <c r="D1270" i="26"/>
  <c r="D1269" i="26"/>
  <c r="D1268" i="26"/>
  <c r="D1267" i="26"/>
  <c r="D1266" i="26"/>
  <c r="D1265" i="26"/>
  <c r="D1264" i="26"/>
  <c r="D1263" i="26"/>
  <c r="D1262" i="26"/>
  <c r="D1261" i="26"/>
  <c r="D1260" i="26"/>
  <c r="D1259" i="26"/>
  <c r="D1258" i="26"/>
  <c r="D1257" i="26"/>
  <c r="D1256" i="26"/>
  <c r="D1255" i="26"/>
  <c r="D1254" i="26"/>
  <c r="D1253" i="26"/>
  <c r="D1252" i="26"/>
  <c r="D1251" i="26"/>
  <c r="D1250" i="26"/>
  <c r="D1249" i="26"/>
  <c r="D1248" i="26"/>
  <c r="D1247" i="26"/>
  <c r="D1246" i="26"/>
  <c r="D1245" i="26"/>
  <c r="D1244" i="26"/>
  <c r="D1243" i="26"/>
  <c r="D1242" i="26"/>
  <c r="D1241" i="26"/>
  <c r="D1240" i="26"/>
  <c r="D1239" i="26"/>
  <c r="D1238" i="26"/>
  <c r="D1237" i="26"/>
  <c r="D1236" i="26"/>
  <c r="D1235" i="26"/>
  <c r="D1234" i="26"/>
  <c r="D1233" i="26"/>
  <c r="D1232" i="26"/>
  <c r="D1231" i="26"/>
  <c r="D1230" i="26"/>
  <c r="D1229" i="26"/>
  <c r="D1228" i="26"/>
  <c r="D1227" i="26"/>
  <c r="D1226" i="26"/>
  <c r="D1225" i="26"/>
  <c r="D1224" i="26"/>
  <c r="D1223" i="26"/>
  <c r="D1222" i="26"/>
  <c r="D1221" i="26"/>
  <c r="D1220" i="26"/>
  <c r="D1219" i="26"/>
  <c r="D1218" i="26"/>
  <c r="D1217" i="26"/>
  <c r="D1216" i="26"/>
  <c r="D1215" i="26"/>
  <c r="D1214" i="26"/>
  <c r="D1213" i="26"/>
  <c r="D1212" i="26"/>
  <c r="D1211" i="26"/>
  <c r="D1210" i="26"/>
  <c r="D1209" i="26"/>
  <c r="D1208" i="26"/>
  <c r="D1207" i="26"/>
  <c r="D1206" i="26"/>
  <c r="D1205" i="26"/>
  <c r="D1204" i="26"/>
  <c r="D1203" i="26"/>
  <c r="D1202" i="26"/>
  <c r="D1201" i="26"/>
  <c r="D1200" i="26"/>
  <c r="D1199" i="26"/>
  <c r="D1198" i="26"/>
  <c r="D1197" i="26"/>
  <c r="D1196" i="26"/>
  <c r="D1195" i="26"/>
  <c r="D1194" i="26"/>
  <c r="D1193" i="26"/>
  <c r="D1192" i="26"/>
  <c r="D1191" i="26"/>
  <c r="D1190" i="26"/>
  <c r="D1189" i="26"/>
  <c r="D1188" i="26"/>
  <c r="D1187" i="26"/>
  <c r="D1186" i="26"/>
  <c r="D1185" i="26"/>
  <c r="D1184" i="26"/>
  <c r="D1183" i="26"/>
  <c r="D1182" i="26"/>
  <c r="D1181" i="26"/>
  <c r="D1180" i="26"/>
  <c r="D1179" i="26"/>
  <c r="D1178" i="26"/>
  <c r="D1177" i="26"/>
  <c r="D1176" i="26"/>
  <c r="D1175" i="26"/>
  <c r="D1174" i="26"/>
  <c r="D1173" i="26"/>
  <c r="D1172" i="26"/>
  <c r="D1171" i="26"/>
  <c r="D1170" i="26"/>
  <c r="D1169" i="26"/>
  <c r="D1168" i="26"/>
  <c r="D1167" i="26"/>
  <c r="D1166" i="26"/>
  <c r="D1165" i="26"/>
  <c r="D1164" i="26"/>
  <c r="D1163" i="26"/>
  <c r="D1162" i="26"/>
  <c r="D1161" i="26"/>
  <c r="D1160" i="26"/>
  <c r="D1159" i="26"/>
  <c r="D1158" i="26"/>
  <c r="D1157" i="26"/>
  <c r="D1156" i="26"/>
  <c r="D1155" i="26"/>
  <c r="D1154" i="26"/>
  <c r="D1153" i="26"/>
  <c r="D1152" i="26"/>
  <c r="D1151" i="26"/>
  <c r="D1150" i="26"/>
  <c r="D1149" i="26"/>
  <c r="D1148" i="26"/>
  <c r="D1147" i="26"/>
  <c r="D1146" i="26"/>
  <c r="D1145" i="26"/>
  <c r="D1144" i="26"/>
  <c r="D1143" i="26"/>
  <c r="D1142" i="26"/>
  <c r="D1141" i="26"/>
  <c r="D1140" i="26"/>
  <c r="D1139" i="26"/>
  <c r="D1138" i="26"/>
  <c r="D1137" i="26"/>
  <c r="D1136" i="26"/>
  <c r="D1135" i="26"/>
  <c r="D1134" i="26"/>
  <c r="D1133" i="26"/>
  <c r="D1132" i="26"/>
  <c r="D1131" i="26"/>
  <c r="D1130" i="26"/>
  <c r="D1129" i="26"/>
  <c r="D1128" i="26"/>
  <c r="D1127" i="26"/>
  <c r="D1126" i="26"/>
  <c r="D1125" i="26"/>
  <c r="D1124" i="26"/>
  <c r="D1123" i="26"/>
  <c r="D1122" i="26"/>
  <c r="D1121" i="26"/>
  <c r="D1120" i="26"/>
  <c r="D1119" i="26"/>
  <c r="D1118" i="26"/>
  <c r="D1117" i="26"/>
  <c r="D1116" i="26"/>
  <c r="D1115" i="26"/>
  <c r="D1114" i="26"/>
  <c r="D1113" i="26"/>
  <c r="D1112" i="26"/>
  <c r="D1111" i="26"/>
  <c r="D1110" i="26"/>
  <c r="D1109" i="26"/>
  <c r="D1108" i="26"/>
  <c r="D1107" i="26"/>
  <c r="D1106" i="26"/>
  <c r="D1105" i="26"/>
  <c r="D1104" i="26"/>
  <c r="D1103" i="26"/>
  <c r="D1102" i="26"/>
  <c r="D1101" i="26"/>
  <c r="D1100" i="26"/>
  <c r="D1099" i="26"/>
  <c r="D1098" i="26"/>
  <c r="D1097" i="26"/>
  <c r="D1096" i="26"/>
  <c r="D1095" i="26"/>
  <c r="D1094" i="26"/>
  <c r="D1093" i="26"/>
  <c r="D1092" i="26"/>
  <c r="D1091" i="26"/>
  <c r="D1090" i="26"/>
  <c r="D1089" i="26"/>
  <c r="D1088" i="26"/>
  <c r="D1087" i="26"/>
  <c r="D1086" i="26"/>
  <c r="D1085" i="26"/>
  <c r="D1084" i="26"/>
  <c r="D1083" i="26"/>
  <c r="D1082" i="26"/>
  <c r="D1081" i="26"/>
  <c r="D1080" i="26"/>
  <c r="D1079" i="26"/>
  <c r="D1078" i="26"/>
  <c r="D1077" i="26"/>
  <c r="D1076" i="26"/>
  <c r="D1075" i="26"/>
  <c r="D1074" i="26"/>
  <c r="D1073" i="26"/>
  <c r="D1072" i="26"/>
  <c r="D1071" i="26"/>
  <c r="D1070" i="26"/>
  <c r="D1069" i="26"/>
  <c r="D1068" i="26"/>
  <c r="D1067" i="26"/>
  <c r="D1066" i="26"/>
  <c r="D1065" i="26"/>
  <c r="D1064" i="26"/>
  <c r="D1063" i="26"/>
  <c r="D1062" i="26"/>
  <c r="D1061" i="26"/>
  <c r="D1060" i="26"/>
  <c r="D1059" i="26"/>
  <c r="D1058" i="26"/>
  <c r="D1057" i="26"/>
  <c r="D1056" i="26"/>
  <c r="D1055" i="26"/>
  <c r="D1054" i="26"/>
  <c r="D1053" i="26"/>
  <c r="D1052" i="26"/>
  <c r="D1051" i="26"/>
  <c r="D1050" i="26"/>
  <c r="D1049" i="26"/>
  <c r="D1048" i="26"/>
  <c r="D1047" i="26"/>
  <c r="D1046" i="26"/>
  <c r="D1045" i="26"/>
  <c r="D1044" i="26"/>
  <c r="D1043" i="26"/>
  <c r="D1042" i="26"/>
  <c r="D1041" i="26"/>
  <c r="D1040" i="26"/>
  <c r="D1039" i="26"/>
  <c r="D1038" i="26"/>
  <c r="D1037" i="26"/>
  <c r="D1036" i="26"/>
  <c r="D1035" i="26"/>
  <c r="D1034" i="26"/>
  <c r="D1033" i="26"/>
  <c r="D1032" i="26"/>
  <c r="D1031" i="26"/>
  <c r="D1030" i="26"/>
  <c r="D1029" i="26"/>
  <c r="D1028" i="26"/>
  <c r="D1027" i="26"/>
  <c r="D1026" i="26"/>
  <c r="D1025" i="26"/>
  <c r="D1024" i="26"/>
  <c r="D1023" i="26"/>
  <c r="D1022" i="26"/>
  <c r="D1021" i="26"/>
  <c r="D1020" i="26"/>
  <c r="D1019" i="26"/>
  <c r="D1018" i="26"/>
  <c r="D1017" i="26"/>
  <c r="D1016" i="26"/>
  <c r="D1015" i="26"/>
  <c r="D1014" i="26"/>
  <c r="D1013" i="26"/>
  <c r="D1012" i="26"/>
  <c r="D1011" i="26"/>
  <c r="D1010" i="26"/>
  <c r="D1009" i="26"/>
  <c r="D1008" i="26"/>
  <c r="D1007" i="26"/>
  <c r="D1006" i="26"/>
  <c r="D1005" i="26"/>
  <c r="D1004" i="26"/>
  <c r="D1003" i="26"/>
  <c r="D1002" i="26"/>
  <c r="D1001" i="26"/>
  <c r="D1000" i="26"/>
  <c r="D999" i="26"/>
  <c r="D998" i="26"/>
  <c r="D997" i="26"/>
  <c r="D996" i="26"/>
  <c r="D995" i="26"/>
  <c r="D994" i="26"/>
  <c r="D993" i="26"/>
  <c r="D992" i="26"/>
  <c r="D991" i="26"/>
  <c r="D990" i="26"/>
  <c r="D989" i="26"/>
  <c r="D988" i="26"/>
  <c r="D987" i="26"/>
  <c r="D986" i="26"/>
  <c r="D985" i="26"/>
  <c r="D984" i="26"/>
  <c r="D983" i="26"/>
  <c r="D982" i="26"/>
  <c r="D981" i="26"/>
  <c r="D980" i="26"/>
  <c r="D979" i="26"/>
  <c r="D978" i="26"/>
  <c r="D977" i="26"/>
  <c r="D976" i="26"/>
  <c r="D975" i="26"/>
  <c r="D974" i="26"/>
  <c r="D973" i="26"/>
  <c r="D972" i="26"/>
  <c r="D971" i="26"/>
  <c r="D970" i="26"/>
  <c r="D969" i="26"/>
  <c r="D968" i="26"/>
  <c r="D967" i="26"/>
  <c r="D966" i="26"/>
  <c r="D965" i="26"/>
  <c r="D964" i="26"/>
  <c r="D963" i="26"/>
  <c r="D962" i="26"/>
  <c r="D961" i="26"/>
  <c r="D960" i="26"/>
  <c r="D959" i="26"/>
  <c r="D958" i="26"/>
  <c r="D957" i="26"/>
  <c r="D956" i="26"/>
  <c r="D955" i="26"/>
  <c r="D954" i="26"/>
  <c r="D953" i="26"/>
  <c r="D952" i="26"/>
  <c r="D951" i="26"/>
  <c r="D950" i="26"/>
  <c r="D949" i="26"/>
  <c r="D948" i="26"/>
  <c r="D947" i="26"/>
  <c r="D946" i="26"/>
  <c r="D945" i="26"/>
  <c r="D944" i="26"/>
  <c r="D943" i="26"/>
  <c r="D942" i="26"/>
  <c r="D941" i="26"/>
  <c r="D940" i="26"/>
  <c r="D939" i="26"/>
  <c r="D938" i="26"/>
  <c r="D937" i="26"/>
  <c r="D936" i="26"/>
  <c r="D935" i="26"/>
  <c r="D934" i="26"/>
  <c r="D933" i="26"/>
  <c r="D932" i="26"/>
  <c r="D931" i="26"/>
  <c r="D930" i="26"/>
  <c r="D929" i="26"/>
  <c r="D928" i="26"/>
  <c r="D927" i="26"/>
  <c r="D926" i="26"/>
  <c r="D925" i="26"/>
  <c r="D924" i="26"/>
  <c r="D923" i="26"/>
  <c r="D922" i="26"/>
  <c r="D921" i="26"/>
  <c r="D920" i="26"/>
  <c r="D919" i="26"/>
  <c r="D918" i="26"/>
  <c r="D917" i="26"/>
  <c r="D916" i="26"/>
  <c r="D915" i="26"/>
  <c r="D914" i="26"/>
  <c r="D913" i="26"/>
  <c r="D912" i="26"/>
  <c r="D911" i="26"/>
  <c r="D910" i="26"/>
  <c r="D909" i="26"/>
  <c r="D908" i="26"/>
  <c r="D907" i="26"/>
  <c r="D906" i="26"/>
  <c r="D905" i="26"/>
  <c r="D904" i="26"/>
  <c r="D903" i="26"/>
  <c r="D902" i="26"/>
  <c r="D901" i="26"/>
  <c r="D900" i="26"/>
  <c r="D899" i="26"/>
  <c r="D898" i="26"/>
  <c r="D897" i="26"/>
  <c r="D896" i="26"/>
  <c r="D895" i="26"/>
  <c r="D894" i="26"/>
  <c r="D893" i="26"/>
  <c r="D892" i="26"/>
  <c r="D891" i="26"/>
  <c r="D890" i="26"/>
  <c r="D889" i="26"/>
  <c r="D888" i="26"/>
  <c r="D887" i="26"/>
  <c r="D886" i="26"/>
  <c r="D885" i="26"/>
  <c r="D884" i="26"/>
  <c r="D883" i="26"/>
  <c r="D882" i="26"/>
  <c r="D881" i="26"/>
  <c r="D880" i="26"/>
  <c r="D879" i="26"/>
  <c r="D878" i="26"/>
  <c r="D877" i="26"/>
  <c r="D876" i="26"/>
  <c r="D875" i="26"/>
  <c r="D874" i="26"/>
  <c r="D873" i="26"/>
  <c r="D872" i="26"/>
  <c r="D871" i="26"/>
  <c r="D870" i="26"/>
  <c r="D869" i="26"/>
  <c r="D868" i="26"/>
  <c r="D867" i="26"/>
  <c r="D866" i="26"/>
  <c r="D865" i="26"/>
  <c r="D864" i="26"/>
  <c r="D863" i="26"/>
  <c r="D862" i="26"/>
  <c r="D861" i="26"/>
  <c r="D860" i="26"/>
  <c r="D859" i="26"/>
  <c r="D858" i="26"/>
  <c r="D857" i="26"/>
  <c r="D856" i="26"/>
  <c r="D855" i="26"/>
  <c r="D854" i="26"/>
  <c r="D853" i="26"/>
  <c r="D852" i="26"/>
  <c r="D851" i="26"/>
  <c r="D850" i="26"/>
  <c r="D849" i="26"/>
  <c r="D848" i="26"/>
  <c r="D847" i="26"/>
  <c r="D846" i="26"/>
  <c r="D845" i="26"/>
  <c r="D844" i="26"/>
  <c r="D843" i="26"/>
  <c r="D842" i="26"/>
  <c r="D841" i="26"/>
  <c r="D840" i="26"/>
  <c r="D839" i="26"/>
  <c r="D838" i="26"/>
  <c r="D837" i="26"/>
  <c r="D836" i="26"/>
  <c r="D835" i="26"/>
  <c r="D834" i="26"/>
  <c r="D833" i="26"/>
  <c r="D832" i="26"/>
  <c r="D831" i="26"/>
  <c r="D830" i="26"/>
  <c r="D829" i="26"/>
  <c r="D828" i="26"/>
  <c r="D827" i="26"/>
  <c r="D826" i="26"/>
  <c r="D825" i="26"/>
  <c r="D824" i="26"/>
  <c r="D823" i="26"/>
  <c r="D822" i="26"/>
  <c r="D821" i="26"/>
  <c r="D820" i="26"/>
  <c r="D819" i="26"/>
  <c r="D818" i="26"/>
  <c r="D817" i="26"/>
  <c r="D816" i="26"/>
  <c r="D815" i="26"/>
  <c r="D814" i="26"/>
  <c r="D813" i="26"/>
  <c r="D812" i="26"/>
  <c r="D811" i="26"/>
  <c r="D810" i="26"/>
  <c r="D809" i="26"/>
  <c r="D808" i="26"/>
  <c r="D807" i="26"/>
  <c r="D806" i="26"/>
  <c r="D805" i="26"/>
  <c r="D804" i="26"/>
  <c r="D803" i="26"/>
  <c r="D802" i="26"/>
  <c r="D801" i="26"/>
  <c r="D800" i="26"/>
  <c r="D799" i="26"/>
  <c r="D798" i="26"/>
  <c r="D797" i="26"/>
  <c r="D796" i="26"/>
  <c r="D795" i="26"/>
  <c r="D794" i="26"/>
  <c r="D793" i="26"/>
  <c r="D792" i="26"/>
  <c r="D791" i="26"/>
  <c r="D790" i="26"/>
  <c r="D789" i="26"/>
  <c r="D788" i="26"/>
  <c r="D787" i="26"/>
  <c r="D786" i="26"/>
  <c r="D785" i="26"/>
  <c r="D784" i="26"/>
  <c r="D783" i="26"/>
  <c r="D782" i="26"/>
  <c r="D781" i="26"/>
  <c r="D780" i="26"/>
  <c r="D779" i="26"/>
  <c r="D778" i="26"/>
  <c r="D777" i="26"/>
  <c r="D776" i="26"/>
  <c r="D775" i="26"/>
  <c r="D774" i="26"/>
  <c r="D773" i="26"/>
  <c r="D772" i="26"/>
  <c r="D771" i="26"/>
  <c r="D770" i="26"/>
  <c r="D769" i="26"/>
  <c r="D768" i="26"/>
  <c r="D767" i="26"/>
  <c r="D766" i="26"/>
  <c r="D765" i="26"/>
  <c r="D764" i="26"/>
  <c r="D763" i="26"/>
  <c r="D762" i="26"/>
  <c r="D761" i="26"/>
  <c r="D760" i="26"/>
  <c r="D759" i="26"/>
  <c r="D758" i="26"/>
  <c r="D757" i="26"/>
  <c r="D756" i="26"/>
  <c r="D755" i="26"/>
  <c r="D754" i="26"/>
  <c r="D753" i="26"/>
  <c r="D752" i="26"/>
  <c r="D751" i="26"/>
  <c r="D750" i="26"/>
  <c r="D749" i="26"/>
  <c r="D748" i="26"/>
  <c r="D747" i="26"/>
  <c r="D746" i="26"/>
  <c r="D745" i="26"/>
  <c r="D744" i="26"/>
  <c r="D743" i="26"/>
  <c r="D742" i="26"/>
  <c r="D741" i="26"/>
  <c r="D740" i="26"/>
  <c r="D739" i="26"/>
  <c r="D738" i="26"/>
  <c r="D737" i="26"/>
  <c r="D736" i="26"/>
  <c r="D735" i="26"/>
  <c r="D734" i="26"/>
  <c r="D733" i="26"/>
  <c r="D732" i="26"/>
  <c r="D731" i="26"/>
  <c r="D730" i="26"/>
  <c r="D729" i="26"/>
  <c r="D728" i="26"/>
  <c r="D727" i="26"/>
  <c r="D726" i="26"/>
  <c r="D725" i="26"/>
  <c r="D724" i="26"/>
  <c r="D723" i="26"/>
  <c r="D722" i="26"/>
  <c r="D721" i="26"/>
  <c r="D720" i="26"/>
  <c r="D719" i="26"/>
  <c r="D718" i="26"/>
  <c r="D717" i="26"/>
  <c r="D716" i="26"/>
  <c r="D715" i="26"/>
  <c r="D714" i="26"/>
  <c r="D713" i="26"/>
  <c r="D712" i="26"/>
  <c r="D711" i="26"/>
  <c r="D710" i="26"/>
  <c r="D709" i="26"/>
  <c r="D708" i="26"/>
  <c r="D707" i="26"/>
  <c r="D706" i="26"/>
  <c r="D705" i="26"/>
  <c r="D704" i="26"/>
  <c r="D703" i="26"/>
  <c r="D702" i="26"/>
  <c r="D701" i="26"/>
  <c r="D700" i="26"/>
  <c r="D699" i="26"/>
  <c r="D698" i="26"/>
  <c r="D697" i="26"/>
  <c r="D696" i="26"/>
  <c r="D695" i="26"/>
  <c r="D694" i="26"/>
  <c r="D693" i="26"/>
  <c r="D692" i="26"/>
  <c r="D691" i="26"/>
  <c r="D690" i="26"/>
  <c r="D689" i="26"/>
  <c r="D688" i="26"/>
  <c r="D687" i="26"/>
  <c r="D686" i="26"/>
  <c r="D685" i="26"/>
  <c r="D684" i="26"/>
  <c r="D683" i="26"/>
  <c r="D682" i="26"/>
  <c r="D681" i="26"/>
  <c r="D680" i="26"/>
  <c r="D679" i="26"/>
  <c r="D678" i="26"/>
  <c r="D677" i="26"/>
  <c r="D676" i="26"/>
  <c r="D675" i="26"/>
  <c r="D674" i="26"/>
  <c r="D673" i="26"/>
  <c r="D672" i="26"/>
  <c r="D671" i="26"/>
  <c r="D670" i="26"/>
  <c r="D669" i="26"/>
  <c r="D668" i="26"/>
  <c r="D667" i="26"/>
  <c r="D666" i="26"/>
  <c r="D665" i="26"/>
  <c r="D664" i="26"/>
  <c r="D663" i="26"/>
  <c r="D662" i="26"/>
  <c r="D661" i="26"/>
  <c r="D660" i="26"/>
  <c r="D659" i="26"/>
  <c r="D658" i="26"/>
  <c r="D657" i="26"/>
  <c r="D656" i="26"/>
  <c r="D655" i="26"/>
  <c r="D654" i="26"/>
  <c r="D653" i="26"/>
  <c r="D652" i="26"/>
  <c r="D651" i="26"/>
  <c r="D650" i="26"/>
  <c r="D649" i="26"/>
  <c r="D648" i="26"/>
  <c r="D647" i="26"/>
  <c r="D646" i="26"/>
  <c r="D645" i="26"/>
  <c r="D644" i="26"/>
  <c r="D643" i="26"/>
  <c r="D642" i="26"/>
  <c r="D641" i="26"/>
  <c r="D640" i="26"/>
  <c r="D639" i="26"/>
  <c r="D638" i="26"/>
  <c r="D637" i="26"/>
  <c r="D636" i="26"/>
  <c r="D635" i="26"/>
  <c r="D634" i="26"/>
  <c r="D633" i="26"/>
  <c r="D632" i="26"/>
  <c r="D631" i="26"/>
  <c r="D630" i="26"/>
  <c r="D629" i="26"/>
  <c r="D628" i="26"/>
  <c r="D627" i="26"/>
  <c r="D626" i="26"/>
  <c r="D625" i="26"/>
  <c r="D624" i="26"/>
  <c r="D623" i="26"/>
  <c r="D622" i="26"/>
  <c r="D621" i="26"/>
  <c r="D620" i="26"/>
  <c r="D619" i="26"/>
  <c r="D618" i="26"/>
  <c r="D617" i="26"/>
  <c r="D616" i="26"/>
  <c r="D615" i="26"/>
  <c r="D614" i="26"/>
  <c r="D613" i="26"/>
  <c r="D612" i="26"/>
  <c r="D611" i="26"/>
  <c r="D610" i="26"/>
  <c r="D609" i="26"/>
  <c r="D608" i="26"/>
  <c r="D607" i="26"/>
  <c r="D606" i="26"/>
  <c r="D605" i="26"/>
  <c r="D604" i="26"/>
  <c r="D603" i="26"/>
  <c r="D602" i="26"/>
  <c r="D601" i="26"/>
  <c r="D600" i="26"/>
  <c r="D599" i="26"/>
  <c r="D598" i="26"/>
  <c r="D597" i="26"/>
  <c r="D596" i="26"/>
  <c r="D595" i="26"/>
  <c r="D594" i="26"/>
  <c r="D593" i="26"/>
  <c r="D592" i="26"/>
  <c r="D591" i="26"/>
  <c r="D590" i="26"/>
  <c r="D589" i="26"/>
  <c r="D588" i="26"/>
  <c r="D587" i="26"/>
  <c r="D586" i="26"/>
  <c r="D585" i="26"/>
  <c r="D584" i="26"/>
  <c r="D583" i="26"/>
  <c r="D582" i="26"/>
  <c r="D581" i="26"/>
  <c r="D580" i="26"/>
  <c r="D579" i="26"/>
  <c r="D578" i="26"/>
  <c r="D577" i="26"/>
  <c r="D576" i="26"/>
  <c r="D575" i="26"/>
  <c r="D574" i="26"/>
  <c r="D573" i="26"/>
  <c r="D572" i="26"/>
  <c r="D571" i="26"/>
  <c r="D570" i="26"/>
  <c r="D569" i="26"/>
  <c r="D568" i="26"/>
  <c r="D567" i="26"/>
  <c r="D566" i="26"/>
  <c r="D565" i="26"/>
  <c r="D564" i="26"/>
  <c r="D563" i="26"/>
  <c r="D562" i="26"/>
  <c r="D561" i="26"/>
  <c r="D560" i="26"/>
  <c r="D559" i="26"/>
  <c r="D558" i="26"/>
  <c r="D557" i="26"/>
  <c r="D556" i="26"/>
  <c r="D555" i="26"/>
  <c r="D554" i="26"/>
  <c r="D553" i="26"/>
  <c r="D552" i="26"/>
  <c r="D551" i="26"/>
  <c r="D550" i="26"/>
  <c r="D549" i="26"/>
  <c r="D548" i="26"/>
  <c r="D547" i="26"/>
  <c r="D546" i="26"/>
  <c r="D545" i="26"/>
  <c r="D544" i="26"/>
  <c r="D543" i="26"/>
  <c r="D542" i="26"/>
  <c r="D541" i="26"/>
  <c r="D540" i="26"/>
  <c r="D539" i="26"/>
  <c r="D538" i="26"/>
  <c r="D537" i="26"/>
  <c r="D536" i="26"/>
  <c r="D535" i="26"/>
  <c r="D534" i="26"/>
  <c r="D533" i="26"/>
  <c r="D532" i="26"/>
  <c r="D531" i="26"/>
  <c r="D530" i="26"/>
  <c r="D529" i="26"/>
  <c r="D528" i="26"/>
  <c r="D527" i="26"/>
  <c r="D526" i="26"/>
  <c r="D525" i="26"/>
  <c r="D524" i="26"/>
  <c r="D523" i="26"/>
  <c r="D522" i="26"/>
  <c r="D521" i="26"/>
  <c r="D520" i="26"/>
  <c r="D519" i="26"/>
  <c r="D518" i="26"/>
  <c r="D517" i="26"/>
  <c r="D516" i="26"/>
  <c r="D515" i="26"/>
  <c r="D514" i="26"/>
  <c r="D513" i="26"/>
  <c r="D512" i="26"/>
  <c r="D511" i="26"/>
  <c r="D510" i="26"/>
  <c r="D509" i="26"/>
  <c r="D508" i="26"/>
  <c r="D507" i="26"/>
  <c r="D506" i="26"/>
  <c r="D505" i="26"/>
  <c r="D504" i="26"/>
  <c r="D503" i="26"/>
  <c r="D502" i="26"/>
  <c r="D501" i="26"/>
  <c r="D500" i="26"/>
  <c r="D499" i="26"/>
  <c r="D498" i="26"/>
  <c r="D497" i="26"/>
  <c r="D496" i="26"/>
  <c r="D495" i="26"/>
  <c r="D494" i="26"/>
  <c r="D493" i="26"/>
  <c r="D492" i="26"/>
  <c r="D491" i="26"/>
  <c r="D490" i="26"/>
  <c r="D489" i="26"/>
  <c r="D488" i="26"/>
  <c r="D487" i="26"/>
  <c r="D486" i="26"/>
  <c r="D485" i="26"/>
  <c r="D484" i="26"/>
  <c r="D483" i="26"/>
  <c r="D482" i="26"/>
  <c r="D481" i="26"/>
  <c r="D480" i="26"/>
  <c r="D479" i="26"/>
  <c r="D478" i="26"/>
  <c r="D477" i="26"/>
  <c r="D476" i="26"/>
  <c r="D475" i="26"/>
  <c r="D474" i="26"/>
  <c r="D473" i="26"/>
  <c r="D472" i="26"/>
  <c r="D471" i="26"/>
  <c r="D470" i="26"/>
  <c r="D469" i="26"/>
  <c r="D468" i="26"/>
  <c r="D467" i="26"/>
  <c r="D466" i="26"/>
  <c r="D465" i="26"/>
  <c r="D464" i="26"/>
  <c r="D463" i="26"/>
  <c r="D462" i="26"/>
  <c r="D461" i="26"/>
  <c r="D460" i="26"/>
  <c r="D459" i="26"/>
  <c r="D458" i="26"/>
  <c r="D457" i="26"/>
  <c r="D456" i="26"/>
  <c r="D455" i="26"/>
  <c r="D454" i="26"/>
  <c r="D453" i="26"/>
  <c r="D452" i="26"/>
  <c r="D451" i="26"/>
  <c r="D450" i="26"/>
  <c r="D449" i="26"/>
  <c r="D448" i="26"/>
  <c r="D447" i="26"/>
  <c r="D446" i="26"/>
  <c r="D445" i="26"/>
  <c r="D444" i="26"/>
  <c r="D443" i="26"/>
  <c r="D442" i="26"/>
  <c r="D441" i="26"/>
  <c r="D440" i="26"/>
  <c r="D439" i="26"/>
  <c r="D438" i="26"/>
  <c r="D437" i="26"/>
  <c r="D436" i="26"/>
  <c r="D435" i="26"/>
  <c r="D434" i="26"/>
  <c r="D433" i="26"/>
  <c r="D432" i="26"/>
  <c r="D431" i="26"/>
  <c r="D430" i="26"/>
  <c r="D429" i="26"/>
  <c r="D428" i="26"/>
  <c r="D427" i="26"/>
  <c r="D426" i="26"/>
  <c r="D425" i="26"/>
  <c r="D424" i="26"/>
  <c r="D423" i="26"/>
  <c r="D422" i="26"/>
  <c r="F421" i="26"/>
  <c r="D421" i="26"/>
  <c r="F420" i="26"/>
  <c r="D420" i="26"/>
  <c r="F419" i="26"/>
  <c r="D419" i="26"/>
  <c r="F418" i="26"/>
  <c r="D418" i="26"/>
  <c r="F417" i="26"/>
  <c r="D417" i="26"/>
  <c r="F416" i="26"/>
  <c r="D416" i="26"/>
  <c r="F415" i="26"/>
  <c r="D415" i="26"/>
  <c r="F414" i="26"/>
  <c r="D414" i="26"/>
  <c r="F413" i="26"/>
  <c r="D413" i="26"/>
  <c r="F412" i="26"/>
  <c r="D412" i="26"/>
  <c r="F411" i="26"/>
  <c r="D411" i="26"/>
  <c r="F410" i="26"/>
  <c r="D410" i="26"/>
  <c r="F409" i="26"/>
  <c r="D409" i="26"/>
  <c r="F408" i="26"/>
  <c r="D408" i="26"/>
  <c r="F407" i="26"/>
  <c r="D407" i="26"/>
  <c r="F406" i="26"/>
  <c r="D406" i="26"/>
  <c r="F405" i="26"/>
  <c r="D405" i="26"/>
  <c r="F404" i="26"/>
  <c r="D404" i="26"/>
  <c r="F403" i="26"/>
  <c r="D403" i="26"/>
  <c r="F402" i="26"/>
  <c r="D402" i="26"/>
  <c r="F401" i="26"/>
  <c r="D401" i="26"/>
  <c r="F400" i="26"/>
  <c r="D400" i="26"/>
  <c r="F399" i="26"/>
  <c r="D399" i="26"/>
  <c r="F398" i="26"/>
  <c r="D398" i="26"/>
  <c r="F397" i="26"/>
  <c r="D397" i="26"/>
  <c r="F396" i="26"/>
  <c r="D396" i="26"/>
  <c r="F395" i="26"/>
  <c r="D395" i="26"/>
  <c r="F394" i="26"/>
  <c r="D394" i="26"/>
  <c r="F393" i="26"/>
  <c r="D393" i="26"/>
  <c r="F392" i="26"/>
  <c r="D392" i="26"/>
  <c r="F391" i="26"/>
  <c r="D391" i="26"/>
  <c r="F390" i="26"/>
  <c r="D390" i="26"/>
  <c r="F389" i="26"/>
  <c r="D389" i="26"/>
  <c r="F388" i="26"/>
  <c r="D388" i="26"/>
  <c r="F387" i="26"/>
  <c r="D387" i="26"/>
  <c r="F386" i="26"/>
  <c r="D386" i="26"/>
  <c r="F385" i="26"/>
  <c r="D385" i="26"/>
  <c r="F384" i="26"/>
  <c r="D384" i="26"/>
  <c r="F383" i="26"/>
  <c r="D383" i="26"/>
  <c r="F382" i="26"/>
  <c r="D382" i="26"/>
  <c r="F381" i="26"/>
  <c r="D381" i="26"/>
  <c r="F380" i="26"/>
  <c r="D380" i="26"/>
  <c r="F379" i="26"/>
  <c r="D379" i="26"/>
  <c r="F378" i="26"/>
  <c r="D378" i="26"/>
  <c r="F377" i="26"/>
  <c r="D377" i="26"/>
  <c r="F376" i="26"/>
  <c r="D376" i="26"/>
  <c r="F375" i="26"/>
  <c r="D375" i="26"/>
  <c r="F374" i="26"/>
  <c r="D374" i="26"/>
  <c r="F373" i="26"/>
  <c r="D373" i="26"/>
  <c r="F372" i="26"/>
  <c r="D372" i="26"/>
  <c r="F371" i="26"/>
  <c r="D371" i="26"/>
  <c r="F370" i="26"/>
  <c r="D370" i="26"/>
  <c r="F369" i="26"/>
  <c r="D369" i="26"/>
  <c r="F368" i="26"/>
  <c r="D368" i="26"/>
  <c r="F367" i="26"/>
  <c r="D367" i="26"/>
  <c r="F366" i="26"/>
  <c r="D366" i="26"/>
  <c r="F365" i="26"/>
  <c r="D365" i="26"/>
  <c r="F364" i="26"/>
  <c r="D364" i="26"/>
  <c r="F363" i="26"/>
  <c r="D363" i="26"/>
  <c r="F362" i="26"/>
  <c r="D362" i="26"/>
  <c r="F361" i="26"/>
  <c r="D361" i="26"/>
  <c r="D360" i="26"/>
  <c r="D359" i="26"/>
  <c r="D358" i="26"/>
  <c r="D357" i="26"/>
  <c r="D356" i="26"/>
  <c r="D355" i="26"/>
  <c r="D354" i="26"/>
  <c r="D353" i="26"/>
  <c r="D352" i="26"/>
  <c r="D351" i="26"/>
  <c r="D350" i="26"/>
  <c r="D349" i="26"/>
  <c r="D348" i="26"/>
  <c r="D347" i="26"/>
  <c r="D346" i="26"/>
  <c r="D345" i="26"/>
  <c r="D344" i="26"/>
  <c r="D343" i="26"/>
  <c r="D342" i="26"/>
  <c r="D341" i="26"/>
  <c r="D340" i="26"/>
  <c r="D339" i="26"/>
  <c r="D338" i="26"/>
  <c r="D337" i="26"/>
  <c r="D336" i="26"/>
  <c r="D335" i="26"/>
  <c r="D334" i="26"/>
  <c r="D333" i="26"/>
  <c r="D332" i="26"/>
  <c r="D331" i="26"/>
  <c r="D330" i="26"/>
  <c r="D329" i="26"/>
  <c r="D328" i="26"/>
  <c r="D327" i="26"/>
  <c r="D326" i="26"/>
  <c r="D325" i="26"/>
  <c r="D324" i="26"/>
  <c r="D323" i="26"/>
  <c r="D322" i="26"/>
  <c r="D321" i="26"/>
  <c r="D320" i="26"/>
  <c r="D319" i="26"/>
  <c r="D318" i="26"/>
  <c r="D317" i="26"/>
  <c r="D316" i="26"/>
  <c r="D315" i="26"/>
  <c r="D314" i="26"/>
  <c r="D313" i="26"/>
  <c r="D312" i="26"/>
  <c r="D311" i="26"/>
  <c r="D310" i="26"/>
  <c r="D309" i="26"/>
  <c r="D308" i="26"/>
  <c r="D307" i="26"/>
  <c r="D306" i="26"/>
  <c r="D305" i="26"/>
  <c r="D304" i="26"/>
  <c r="D303" i="26"/>
  <c r="D302" i="26"/>
  <c r="D301" i="26"/>
  <c r="D300" i="26"/>
  <c r="D299" i="26"/>
  <c r="D298" i="26"/>
  <c r="D297" i="26"/>
  <c r="D296" i="26"/>
  <c r="D295" i="26"/>
  <c r="D294" i="26"/>
  <c r="D293" i="26"/>
  <c r="D292" i="26"/>
  <c r="D291" i="26"/>
  <c r="D290" i="26"/>
  <c r="D289" i="26"/>
  <c r="D288" i="26"/>
  <c r="D287" i="26"/>
  <c r="D286" i="26"/>
  <c r="D285" i="26"/>
  <c r="D284" i="26"/>
  <c r="D283" i="26"/>
  <c r="D282" i="26"/>
  <c r="D281" i="26"/>
  <c r="D280" i="26"/>
  <c r="D279" i="26"/>
  <c r="D278" i="26"/>
  <c r="D277" i="26"/>
  <c r="D276" i="26"/>
  <c r="D275" i="26"/>
  <c r="D274" i="26"/>
  <c r="D273" i="26"/>
  <c r="D272" i="26"/>
  <c r="D271" i="26"/>
  <c r="D270" i="26"/>
  <c r="D269" i="26"/>
  <c r="D268" i="26"/>
  <c r="D267" i="26"/>
  <c r="D266" i="26"/>
  <c r="D265" i="26"/>
  <c r="D264" i="26"/>
  <c r="D263" i="26"/>
  <c r="D262" i="26"/>
  <c r="D261" i="26"/>
  <c r="D260" i="26"/>
  <c r="D259" i="26"/>
  <c r="D258" i="26"/>
  <c r="D257" i="26"/>
  <c r="D256" i="26"/>
  <c r="D255" i="26"/>
  <c r="D254" i="26"/>
  <c r="D253" i="26"/>
  <c r="D252" i="26"/>
  <c r="D251" i="26"/>
  <c r="D250" i="26"/>
  <c r="D249" i="26"/>
  <c r="D248" i="26"/>
  <c r="D247" i="26"/>
  <c r="D246" i="26"/>
  <c r="D245" i="26"/>
  <c r="D244" i="26"/>
  <c r="D243" i="26"/>
  <c r="D242" i="26"/>
  <c r="D241" i="26"/>
  <c r="D240" i="26"/>
  <c r="D239" i="26"/>
  <c r="D238" i="26"/>
  <c r="D237" i="26"/>
  <c r="D236" i="26"/>
  <c r="D235" i="26"/>
  <c r="D234" i="26"/>
  <c r="D233" i="26"/>
  <c r="D232" i="26"/>
  <c r="D231" i="26"/>
  <c r="D230" i="26"/>
  <c r="D229" i="26"/>
  <c r="D228" i="26"/>
  <c r="D227" i="26"/>
  <c r="D226" i="26"/>
  <c r="D225" i="26"/>
  <c r="D224" i="26"/>
  <c r="D223" i="26"/>
  <c r="D222" i="26"/>
  <c r="D221" i="26"/>
  <c r="D220" i="26"/>
  <c r="D219" i="26"/>
  <c r="D218" i="26"/>
  <c r="D217" i="26"/>
  <c r="D216" i="26"/>
  <c r="D215" i="26"/>
  <c r="D214" i="26"/>
  <c r="D213" i="26"/>
  <c r="D212" i="26"/>
  <c r="D211" i="26"/>
  <c r="D210" i="26"/>
  <c r="D209" i="26"/>
  <c r="D208" i="26"/>
  <c r="D207" i="26"/>
  <c r="D206" i="26"/>
  <c r="D205" i="26"/>
  <c r="D204" i="26"/>
  <c r="D203" i="26"/>
  <c r="D202" i="26"/>
  <c r="D201" i="26"/>
  <c r="D200" i="26"/>
  <c r="D199" i="26"/>
  <c r="D198" i="26"/>
  <c r="D197" i="26"/>
  <c r="D196" i="26"/>
  <c r="D195" i="26"/>
  <c r="D194" i="26"/>
  <c r="D193" i="26"/>
  <c r="D192" i="26"/>
  <c r="D191" i="26"/>
  <c r="D190" i="26"/>
  <c r="D189" i="26"/>
  <c r="D188" i="26"/>
  <c r="D187" i="26"/>
  <c r="D186" i="26"/>
  <c r="D185" i="26"/>
  <c r="D184" i="26"/>
  <c r="D183" i="26"/>
  <c r="D182" i="26"/>
  <c r="D181" i="26"/>
  <c r="D180" i="26"/>
  <c r="D179" i="26"/>
  <c r="D178" i="26"/>
  <c r="D177" i="26"/>
  <c r="D176" i="26"/>
  <c r="D175" i="26"/>
  <c r="D174" i="26"/>
  <c r="D173" i="26"/>
  <c r="D172" i="26"/>
  <c r="D171" i="26"/>
  <c r="D170" i="26"/>
  <c r="D169" i="26"/>
  <c r="D168" i="26"/>
  <c r="D167" i="26"/>
  <c r="D166" i="26"/>
  <c r="D165" i="26"/>
  <c r="D164" i="26"/>
  <c r="D163" i="26"/>
  <c r="D162" i="26"/>
  <c r="D161" i="26"/>
  <c r="D160" i="26"/>
  <c r="D159" i="26"/>
  <c r="D158" i="26"/>
  <c r="D157" i="26"/>
  <c r="D156" i="26"/>
  <c r="D155" i="26"/>
  <c r="D154" i="26"/>
  <c r="D153" i="26"/>
  <c r="D152" i="26"/>
  <c r="D151" i="26"/>
  <c r="D150" i="26"/>
  <c r="D149" i="26"/>
  <c r="D148" i="26"/>
  <c r="D147" i="26"/>
  <c r="D146" i="26"/>
  <c r="D145" i="26"/>
  <c r="D144" i="26"/>
  <c r="D143" i="26"/>
  <c r="D142" i="26"/>
  <c r="D141" i="26"/>
  <c r="D140" i="26"/>
  <c r="D139" i="26"/>
  <c r="D138" i="26"/>
  <c r="D137" i="26"/>
  <c r="D136" i="26"/>
  <c r="D135" i="26"/>
  <c r="D134" i="26"/>
  <c r="D133" i="26"/>
  <c r="D132" i="26"/>
  <c r="D131" i="26"/>
  <c r="D130" i="26"/>
  <c r="D129" i="26"/>
  <c r="D128" i="26"/>
  <c r="D127" i="26"/>
  <c r="D126" i="26"/>
  <c r="D125" i="26"/>
  <c r="D124" i="26"/>
  <c r="D123" i="26"/>
  <c r="D122" i="26"/>
  <c r="D121" i="26"/>
  <c r="D120" i="26"/>
  <c r="D119" i="26"/>
  <c r="D118" i="26"/>
  <c r="D117" i="26"/>
  <c r="D116" i="26"/>
  <c r="D115" i="26"/>
  <c r="D114" i="26"/>
  <c r="D113" i="26"/>
  <c r="D112" i="26"/>
  <c r="D111" i="26"/>
  <c r="D110" i="26"/>
  <c r="D109" i="26"/>
  <c r="D108" i="26"/>
  <c r="D107" i="26"/>
  <c r="D106" i="26"/>
  <c r="D105" i="26"/>
  <c r="D104" i="26"/>
  <c r="D103" i="26"/>
  <c r="D102" i="26"/>
  <c r="D101" i="26"/>
  <c r="D100" i="26"/>
  <c r="D99" i="26"/>
  <c r="D98" i="26"/>
  <c r="D97" i="26"/>
  <c r="D96" i="26"/>
  <c r="D95" i="26"/>
  <c r="D94" i="26"/>
  <c r="D93" i="26"/>
  <c r="D92" i="26"/>
  <c r="D91" i="26"/>
  <c r="D90" i="26"/>
  <c r="D89" i="26"/>
  <c r="D88" i="26"/>
  <c r="D87" i="26"/>
  <c r="D86" i="26"/>
  <c r="D85" i="26"/>
  <c r="D84" i="26"/>
  <c r="D83" i="26"/>
  <c r="D82" i="26"/>
  <c r="D81" i="26"/>
  <c r="D80" i="26"/>
  <c r="D79" i="26"/>
  <c r="D78" i="26"/>
  <c r="D77" i="26"/>
  <c r="D76" i="26"/>
  <c r="D75" i="26"/>
  <c r="D74" i="26"/>
  <c r="D73" i="26"/>
  <c r="D72" i="26"/>
  <c r="D71" i="26"/>
  <c r="D70" i="26"/>
  <c r="D69" i="26"/>
  <c r="D68" i="26"/>
  <c r="D67" i="26"/>
  <c r="D66" i="26"/>
  <c r="D65" i="26"/>
  <c r="D64" i="26"/>
  <c r="D63" i="26"/>
  <c r="D62" i="26"/>
  <c r="D61" i="26"/>
  <c r="D60" i="26"/>
  <c r="D59" i="26"/>
  <c r="D58" i="26"/>
  <c r="D57" i="26"/>
  <c r="D56" i="26"/>
  <c r="D55" i="26"/>
  <c r="D54" i="26"/>
  <c r="D53" i="26"/>
  <c r="D52" i="26"/>
  <c r="D51" i="26"/>
  <c r="D50" i="26"/>
  <c r="D49" i="26"/>
  <c r="D48" i="26"/>
  <c r="D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D16" i="26"/>
  <c r="D15" i="26"/>
  <c r="D14" i="26"/>
  <c r="D13" i="26"/>
  <c r="D12" i="26"/>
  <c r="D11" i="26"/>
  <c r="D10" i="26"/>
  <c r="D9" i="26"/>
  <c r="D8" i="26"/>
  <c r="D7" i="26"/>
  <c r="D6" i="26"/>
  <c r="D5" i="26"/>
  <c r="D4" i="26"/>
  <c r="N87" i="17"/>
  <c r="M87" i="17"/>
  <c r="L87" i="17"/>
  <c r="G87" i="17"/>
  <c r="N86" i="17"/>
  <c r="M86" i="17"/>
  <c r="L86" i="17"/>
  <c r="G86" i="17"/>
  <c r="N85" i="17"/>
  <c r="M85" i="17"/>
  <c r="L85" i="17"/>
  <c r="G85" i="17"/>
  <c r="N84" i="17"/>
  <c r="M84" i="17"/>
  <c r="L84" i="17"/>
  <c r="G84" i="17"/>
  <c r="N83" i="17"/>
  <c r="M83" i="17"/>
  <c r="L83" i="17"/>
  <c r="G83" i="17"/>
  <c r="N82" i="17"/>
  <c r="M82" i="17"/>
  <c r="L82" i="17"/>
  <c r="G82" i="17"/>
  <c r="N81" i="17"/>
  <c r="M81" i="17"/>
  <c r="L81" i="17"/>
  <c r="G81" i="17"/>
  <c r="N80" i="17"/>
  <c r="M80" i="17"/>
  <c r="L80" i="17"/>
  <c r="G80" i="17"/>
  <c r="N79" i="17"/>
  <c r="M79" i="17"/>
  <c r="L79" i="17"/>
  <c r="G79" i="17"/>
  <c r="N78" i="17"/>
  <c r="M78" i="17"/>
  <c r="L78" i="17"/>
  <c r="G78" i="17"/>
  <c r="N77" i="17"/>
  <c r="M77" i="17"/>
  <c r="L77" i="17"/>
  <c r="G77" i="17"/>
  <c r="N76" i="17"/>
  <c r="M76" i="17"/>
  <c r="L76" i="17"/>
  <c r="G76" i="17"/>
  <c r="N75" i="17"/>
  <c r="M75" i="17"/>
  <c r="L75" i="17"/>
  <c r="G75" i="17"/>
  <c r="N74" i="17"/>
  <c r="M74" i="17"/>
  <c r="L74" i="17"/>
  <c r="G74" i="17"/>
  <c r="N73" i="17"/>
  <c r="M73" i="17"/>
  <c r="L73" i="17"/>
  <c r="G73" i="17"/>
  <c r="N72" i="17"/>
  <c r="M72" i="17"/>
  <c r="L72" i="17"/>
  <c r="G72" i="17"/>
  <c r="N71" i="17"/>
  <c r="M71" i="17"/>
  <c r="L71" i="17"/>
  <c r="G71" i="17"/>
  <c r="N70" i="17"/>
  <c r="M70" i="17"/>
  <c r="L70" i="17"/>
  <c r="G70" i="17"/>
  <c r="N69" i="17"/>
  <c r="M69" i="17"/>
  <c r="L69" i="17"/>
  <c r="G69" i="17"/>
  <c r="N68" i="17"/>
  <c r="M68" i="17"/>
  <c r="L68" i="17"/>
  <c r="G68" i="17"/>
  <c r="N67" i="17"/>
  <c r="M67" i="17"/>
  <c r="L67" i="17"/>
  <c r="G67" i="17"/>
  <c r="N66" i="17"/>
  <c r="M66" i="17"/>
  <c r="L66" i="17"/>
  <c r="G66" i="17"/>
  <c r="N65" i="17"/>
  <c r="M65" i="17"/>
  <c r="L65" i="17"/>
  <c r="G65" i="17"/>
  <c r="N64" i="17"/>
  <c r="M64" i="17"/>
  <c r="L64" i="17"/>
  <c r="G64" i="17"/>
  <c r="N63" i="17"/>
  <c r="M63" i="17"/>
  <c r="L63" i="17"/>
  <c r="G63" i="17"/>
  <c r="N62" i="17"/>
  <c r="M62" i="17"/>
  <c r="L62" i="17"/>
  <c r="G62" i="17"/>
  <c r="N61" i="17"/>
  <c r="M61" i="17"/>
  <c r="L61" i="17"/>
  <c r="G61" i="17"/>
  <c r="N60" i="17"/>
  <c r="M60" i="17"/>
  <c r="L60" i="17"/>
  <c r="G60" i="17"/>
  <c r="N59" i="17"/>
  <c r="M59" i="17"/>
  <c r="L59" i="17"/>
  <c r="G59" i="17"/>
  <c r="N58" i="17"/>
  <c r="M58" i="17"/>
  <c r="L58" i="17"/>
  <c r="G58" i="17"/>
  <c r="N57" i="17"/>
  <c r="M57" i="17"/>
  <c r="L57" i="17"/>
  <c r="G57" i="17"/>
  <c r="N56" i="17"/>
  <c r="M56" i="17"/>
  <c r="L56" i="17"/>
  <c r="G56" i="17"/>
  <c r="N55" i="17"/>
  <c r="M55" i="17"/>
  <c r="L55" i="17"/>
  <c r="G55" i="17"/>
  <c r="N54" i="17"/>
  <c r="M54" i="17"/>
  <c r="L54" i="17"/>
  <c r="G54" i="17"/>
  <c r="N53" i="17"/>
  <c r="M53" i="17"/>
  <c r="L53" i="17"/>
  <c r="G53" i="17"/>
  <c r="N52" i="17"/>
  <c r="M52" i="17"/>
  <c r="L52" i="17"/>
  <c r="G52" i="17"/>
  <c r="N51" i="17"/>
  <c r="M51" i="17"/>
  <c r="L51" i="17"/>
  <c r="G51" i="17"/>
  <c r="N50" i="17"/>
  <c r="M50" i="17"/>
  <c r="L50" i="17"/>
  <c r="G50" i="17"/>
  <c r="N49" i="17"/>
  <c r="M49" i="17"/>
  <c r="L49" i="17"/>
  <c r="G49" i="17"/>
  <c r="N48" i="17"/>
  <c r="M48" i="17"/>
  <c r="L48" i="17"/>
  <c r="G48" i="17"/>
  <c r="N47" i="17"/>
  <c r="M47" i="17"/>
  <c r="L47" i="17"/>
  <c r="G47" i="17"/>
  <c r="N46" i="17"/>
  <c r="M46" i="17"/>
  <c r="L46" i="17"/>
  <c r="G46" i="17"/>
  <c r="N45" i="17"/>
  <c r="M45" i="17"/>
  <c r="L45" i="17"/>
  <c r="G45" i="17"/>
  <c r="N44" i="17"/>
  <c r="M44" i="17"/>
  <c r="L44" i="17"/>
  <c r="G44" i="17"/>
  <c r="N43" i="17"/>
  <c r="M43" i="17"/>
  <c r="L43" i="17"/>
  <c r="G43" i="17"/>
  <c r="N42" i="17"/>
  <c r="M42" i="17"/>
  <c r="L42" i="17"/>
  <c r="G42" i="17"/>
  <c r="N41" i="17"/>
  <c r="M41" i="17"/>
  <c r="L41" i="17"/>
  <c r="G41" i="17"/>
  <c r="N40" i="17"/>
  <c r="M40" i="17"/>
  <c r="L40" i="17"/>
  <c r="G40" i="17"/>
  <c r="N39" i="17"/>
  <c r="M39" i="17"/>
  <c r="L39" i="17"/>
  <c r="G39" i="17"/>
  <c r="N38" i="17"/>
  <c r="M38" i="17"/>
  <c r="L38" i="17"/>
  <c r="G38" i="17"/>
  <c r="N37" i="17"/>
  <c r="M37" i="17"/>
  <c r="L37" i="17"/>
  <c r="G37" i="17"/>
  <c r="N36" i="17"/>
  <c r="M36" i="17"/>
  <c r="L36" i="17"/>
  <c r="G36" i="17"/>
  <c r="N35" i="17"/>
  <c r="M35" i="17"/>
  <c r="L35" i="17"/>
  <c r="G35" i="17"/>
  <c r="N34" i="17"/>
  <c r="M34" i="17"/>
  <c r="L34" i="17"/>
  <c r="G34" i="17"/>
  <c r="N33" i="17"/>
  <c r="M33" i="17"/>
  <c r="L33" i="17"/>
  <c r="G33" i="17"/>
  <c r="N32" i="17"/>
  <c r="M32" i="17"/>
  <c r="L32" i="17"/>
  <c r="G32" i="17"/>
  <c r="N31" i="17"/>
  <c r="M31" i="17"/>
  <c r="L31" i="17"/>
  <c r="G31" i="17"/>
  <c r="N30" i="17"/>
  <c r="M30" i="17"/>
  <c r="L30" i="17"/>
  <c r="G30" i="17"/>
  <c r="N29" i="17"/>
  <c r="M29" i="17"/>
  <c r="L29" i="17"/>
  <c r="G29" i="17"/>
  <c r="N28" i="17"/>
  <c r="M28" i="17"/>
  <c r="L28" i="17"/>
  <c r="G28" i="17"/>
  <c r="N27" i="17"/>
  <c r="M27" i="17"/>
  <c r="L27" i="17"/>
  <c r="G27" i="17"/>
  <c r="N26" i="17"/>
  <c r="M26" i="17"/>
  <c r="L26" i="17"/>
  <c r="G26" i="17"/>
  <c r="N25" i="17"/>
  <c r="M25" i="17"/>
  <c r="L25" i="17"/>
  <c r="G25" i="17"/>
  <c r="N24" i="17"/>
  <c r="M24" i="17"/>
  <c r="L24" i="17"/>
  <c r="G24" i="17"/>
  <c r="N23" i="17"/>
  <c r="M23" i="17"/>
  <c r="L23" i="17"/>
  <c r="G23" i="17"/>
  <c r="N22" i="17"/>
  <c r="M22" i="17"/>
  <c r="L22" i="17"/>
  <c r="G22" i="17"/>
  <c r="N21" i="17"/>
  <c r="M21" i="17"/>
  <c r="L21" i="17"/>
  <c r="G21" i="17"/>
  <c r="N20" i="17"/>
  <c r="M20" i="17"/>
  <c r="L20" i="17"/>
  <c r="G20" i="17"/>
  <c r="N19" i="17"/>
  <c r="M19" i="17"/>
  <c r="L19" i="17"/>
  <c r="G19" i="17"/>
  <c r="N18" i="17"/>
  <c r="M18" i="17"/>
  <c r="L18" i="17"/>
  <c r="G18" i="17"/>
  <c r="N17" i="17"/>
  <c r="M17" i="17"/>
  <c r="L17" i="17"/>
  <c r="G17" i="17"/>
  <c r="N16" i="17"/>
  <c r="M16" i="17"/>
  <c r="L16" i="17"/>
  <c r="G16" i="17"/>
  <c r="N15" i="17"/>
  <c r="M15" i="17"/>
  <c r="L15" i="17"/>
  <c r="G15" i="17"/>
  <c r="N14" i="17"/>
  <c r="M14" i="17"/>
  <c r="L14" i="17"/>
  <c r="G14" i="17"/>
  <c r="N13" i="17"/>
  <c r="M13" i="17"/>
  <c r="L13" i="17"/>
  <c r="G13" i="17"/>
  <c r="N12" i="17"/>
  <c r="M12" i="17"/>
  <c r="L12" i="17"/>
  <c r="G12" i="17"/>
  <c r="N11" i="17"/>
  <c r="M11" i="17"/>
  <c r="L11" i="17"/>
  <c r="G11" i="17"/>
  <c r="N10" i="17"/>
  <c r="M10" i="17"/>
  <c r="L10" i="17"/>
  <c r="G10" i="17"/>
  <c r="N9" i="17"/>
  <c r="M9" i="17"/>
  <c r="L9" i="17"/>
  <c r="G9" i="17"/>
  <c r="N8" i="17"/>
  <c r="M8" i="17"/>
  <c r="L8" i="17"/>
  <c r="G8" i="17"/>
  <c r="N7" i="17"/>
  <c r="M7" i="17"/>
  <c r="L7" i="17"/>
  <c r="G7" i="17"/>
  <c r="N6" i="17"/>
  <c r="M6" i="17"/>
  <c r="L6" i="17"/>
  <c r="G6" i="17"/>
  <c r="J58" i="21"/>
  <c r="I58" i="21"/>
  <c r="J57" i="21"/>
  <c r="I57" i="21"/>
  <c r="J56" i="21"/>
  <c r="I56" i="21"/>
  <c r="J55" i="21"/>
  <c r="I55" i="21"/>
  <c r="J54" i="21"/>
  <c r="I54" i="21"/>
  <c r="J53" i="21"/>
  <c r="I53" i="21"/>
  <c r="J52" i="21"/>
  <c r="I52" i="21"/>
  <c r="J51" i="21"/>
  <c r="I51" i="21"/>
  <c r="J50" i="21"/>
  <c r="I50" i="21"/>
  <c r="J49" i="21"/>
  <c r="I49" i="21"/>
  <c r="J48" i="21"/>
  <c r="I48" i="21"/>
  <c r="J47" i="21"/>
  <c r="I47" i="21"/>
  <c r="J46" i="21"/>
  <c r="I46" i="21"/>
  <c r="J45" i="21"/>
  <c r="I45" i="21"/>
  <c r="J44" i="21"/>
  <c r="I44" i="21"/>
  <c r="J43" i="21"/>
  <c r="I43" i="21"/>
  <c r="J42" i="21"/>
  <c r="I42" i="21"/>
  <c r="J41" i="21"/>
  <c r="I41" i="21"/>
  <c r="J40" i="21"/>
  <c r="I40" i="21"/>
  <c r="J39" i="21"/>
  <c r="I39" i="21"/>
  <c r="J38" i="21"/>
  <c r="I38" i="21"/>
  <c r="J37" i="21"/>
  <c r="I37" i="21"/>
  <c r="J36" i="21"/>
  <c r="I36" i="21"/>
  <c r="J35" i="21"/>
  <c r="I35" i="21"/>
  <c r="J34" i="21"/>
  <c r="I34" i="21"/>
  <c r="J33" i="21"/>
  <c r="I33" i="21"/>
  <c r="J32" i="21"/>
  <c r="I32" i="21"/>
  <c r="J31" i="21"/>
  <c r="I31" i="21"/>
  <c r="J30" i="21"/>
  <c r="I30" i="21"/>
  <c r="J29" i="21"/>
  <c r="I29" i="21"/>
  <c r="J28" i="21"/>
  <c r="I28" i="21"/>
  <c r="J27" i="21"/>
  <c r="I27" i="21"/>
  <c r="J26" i="21"/>
  <c r="I26" i="21"/>
  <c r="J25" i="21"/>
  <c r="I25" i="21"/>
  <c r="J24" i="21"/>
  <c r="I24" i="21"/>
  <c r="J23" i="21"/>
  <c r="I23" i="21"/>
  <c r="J22" i="21"/>
  <c r="I22" i="21"/>
  <c r="J21" i="21"/>
  <c r="I21" i="21"/>
  <c r="J20" i="21"/>
  <c r="I20" i="21"/>
  <c r="J19" i="21"/>
  <c r="I19" i="21"/>
  <c r="J18" i="21"/>
  <c r="I18" i="21"/>
  <c r="J17" i="21"/>
  <c r="I17" i="21"/>
  <c r="J16" i="21"/>
  <c r="I16" i="21"/>
  <c r="J15" i="21"/>
  <c r="I15" i="21"/>
  <c r="J14" i="21"/>
  <c r="I14" i="21"/>
  <c r="J13" i="21"/>
  <c r="I13" i="21"/>
  <c r="J12" i="21"/>
  <c r="I12" i="21"/>
  <c r="J11" i="21"/>
  <c r="I11" i="21"/>
  <c r="J10" i="21"/>
  <c r="I10" i="21"/>
  <c r="J9" i="21"/>
  <c r="I9" i="21"/>
  <c r="J8" i="21"/>
  <c r="I8" i="21"/>
  <c r="J7" i="21"/>
  <c r="I7" i="21"/>
  <c r="J6" i="21"/>
  <c r="I6" i="21"/>
  <c r="J5" i="21"/>
  <c r="I5" i="21"/>
  <c r="J4" i="21"/>
  <c r="I4" i="21"/>
  <c r="T40" i="31"/>
  <c r="I40" i="31"/>
  <c r="T39" i="31"/>
  <c r="I39" i="31"/>
  <c r="T38" i="31"/>
  <c r="I38" i="31"/>
  <c r="T37" i="31"/>
  <c r="M37" i="31"/>
  <c r="I37" i="31"/>
  <c r="T36" i="31"/>
  <c r="M36" i="31"/>
  <c r="I36" i="31"/>
  <c r="T32" i="31"/>
  <c r="S32" i="31"/>
  <c r="R32" i="31"/>
  <c r="L32" i="31"/>
  <c r="I32" i="31"/>
  <c r="G32" i="31"/>
  <c r="T27" i="31"/>
  <c r="S27" i="31"/>
  <c r="R27" i="31"/>
  <c r="Q27" i="31"/>
  <c r="P27" i="31"/>
  <c r="O27" i="31"/>
  <c r="L27" i="31"/>
  <c r="J27" i="31"/>
  <c r="G27" i="31"/>
  <c r="T26" i="31"/>
  <c r="S26" i="31"/>
  <c r="R26" i="31"/>
  <c r="Q26" i="31"/>
  <c r="P26" i="31"/>
  <c r="O26" i="31"/>
  <c r="L26" i="31"/>
  <c r="J26" i="31"/>
  <c r="G26" i="31"/>
  <c r="T25" i="31"/>
  <c r="Q25" i="31"/>
  <c r="P25" i="31"/>
  <c r="L25" i="31"/>
  <c r="J25" i="31"/>
  <c r="G25" i="31"/>
  <c r="T24" i="31"/>
  <c r="Q24" i="31"/>
  <c r="P24" i="31"/>
  <c r="L24" i="31"/>
  <c r="J24" i="31"/>
  <c r="G24" i="31"/>
  <c r="Q19" i="31"/>
  <c r="P19" i="31"/>
  <c r="O19" i="31"/>
  <c r="N19" i="31"/>
  <c r="H19" i="31"/>
  <c r="Q18" i="31"/>
  <c r="P18" i="31"/>
  <c r="O18" i="31"/>
  <c r="N18" i="31"/>
  <c r="H18" i="31"/>
  <c r="Q17" i="31"/>
  <c r="P17" i="31"/>
  <c r="O17" i="31"/>
  <c r="N17" i="31"/>
  <c r="H17" i="31"/>
  <c r="G17" i="31"/>
  <c r="Q16" i="31"/>
  <c r="P16" i="31"/>
  <c r="O16" i="31"/>
  <c r="N16" i="31"/>
  <c r="H16" i="31"/>
  <c r="G16" i="31"/>
  <c r="Q15" i="31"/>
  <c r="P15" i="31"/>
  <c r="O15" i="31"/>
  <c r="N15" i="31"/>
  <c r="H15" i="31"/>
  <c r="G15" i="31"/>
  <c r="Q14" i="31"/>
  <c r="P14" i="31"/>
  <c r="O14" i="31"/>
  <c r="N14" i="31"/>
  <c r="H14" i="31"/>
  <c r="G14" i="31"/>
  <c r="Q13" i="31"/>
  <c r="P13" i="31"/>
  <c r="O13" i="31"/>
  <c r="N13" i="31"/>
  <c r="H13" i="31"/>
  <c r="G13" i="31"/>
  <c r="M8" i="31"/>
  <c r="L8" i="31"/>
  <c r="F8" i="31"/>
  <c r="R7" i="31"/>
  <c r="L7" i="31"/>
  <c r="F7" i="31"/>
  <c r="R6" i="31"/>
  <c r="L6" i="31"/>
  <c r="F6" i="31"/>
  <c r="AC5" i="31"/>
  <c r="AB5" i="31"/>
  <c r="P100" i="34"/>
  <c r="O100" i="34"/>
  <c r="N100" i="34"/>
  <c r="M100" i="34"/>
  <c r="L100" i="34"/>
  <c r="K100" i="34"/>
  <c r="J100" i="34"/>
  <c r="I100" i="34"/>
  <c r="H100" i="34"/>
  <c r="G100" i="34"/>
  <c r="F100" i="34"/>
  <c r="P99" i="34"/>
  <c r="O99" i="34"/>
  <c r="N99" i="34"/>
  <c r="M99" i="34"/>
  <c r="L99" i="34"/>
  <c r="K99" i="34"/>
  <c r="J99" i="34"/>
  <c r="I99" i="34"/>
  <c r="H99" i="34"/>
  <c r="G99" i="34"/>
  <c r="F99" i="34"/>
  <c r="P98" i="34"/>
  <c r="O98" i="34"/>
  <c r="N98" i="34"/>
  <c r="M98" i="34"/>
  <c r="L98" i="34"/>
  <c r="K98" i="34"/>
  <c r="J98" i="34"/>
  <c r="I98" i="34"/>
  <c r="H98" i="34"/>
  <c r="G98" i="34"/>
  <c r="F98" i="34"/>
  <c r="P97" i="34"/>
  <c r="O97" i="34"/>
  <c r="N97" i="34"/>
  <c r="M97" i="34"/>
  <c r="L97" i="34"/>
  <c r="K97" i="34"/>
  <c r="J97" i="34"/>
  <c r="I97" i="34"/>
  <c r="H97" i="34"/>
  <c r="G97" i="34"/>
  <c r="F97" i="34"/>
  <c r="P96" i="34"/>
  <c r="O96" i="34"/>
  <c r="N96" i="34"/>
  <c r="M96" i="34"/>
  <c r="L96" i="34"/>
  <c r="K96" i="34"/>
  <c r="J96" i="34"/>
  <c r="I96" i="34"/>
  <c r="H96" i="34"/>
  <c r="G96" i="34"/>
  <c r="F96" i="34"/>
  <c r="P95" i="34"/>
  <c r="O95" i="34"/>
  <c r="N95" i="34"/>
  <c r="M95" i="34"/>
  <c r="L95" i="34"/>
  <c r="K95" i="34"/>
  <c r="J95" i="34"/>
  <c r="I95" i="34"/>
  <c r="H95" i="34"/>
  <c r="G95" i="34"/>
  <c r="F95" i="34"/>
  <c r="P94" i="34"/>
  <c r="O94" i="34"/>
  <c r="N94" i="34"/>
  <c r="M94" i="34"/>
  <c r="L94" i="34"/>
  <c r="K94" i="34"/>
  <c r="J94" i="34"/>
  <c r="I94" i="34"/>
  <c r="H94" i="34"/>
  <c r="G94" i="34"/>
  <c r="F94" i="34"/>
  <c r="P93" i="34"/>
  <c r="O93" i="34"/>
  <c r="N93" i="34"/>
  <c r="M93" i="34"/>
  <c r="L93" i="34"/>
  <c r="K93" i="34"/>
  <c r="J93" i="34"/>
  <c r="I93" i="34"/>
  <c r="H93" i="34"/>
  <c r="G93" i="34"/>
  <c r="F93" i="34"/>
  <c r="P92" i="34"/>
  <c r="O92" i="34"/>
  <c r="N92" i="34"/>
  <c r="M92" i="34"/>
  <c r="L92" i="34"/>
  <c r="K92" i="34"/>
  <c r="J92" i="34"/>
  <c r="I92" i="34"/>
  <c r="H92" i="34"/>
  <c r="G92" i="34"/>
  <c r="F92" i="34"/>
  <c r="P91" i="34"/>
  <c r="O91" i="34"/>
  <c r="N91" i="34"/>
  <c r="M91" i="34"/>
  <c r="L91" i="34"/>
  <c r="K91" i="34"/>
  <c r="J91" i="34"/>
  <c r="I91" i="34"/>
  <c r="G91" i="34"/>
  <c r="F91" i="34"/>
  <c r="P90" i="34"/>
  <c r="O90" i="34"/>
  <c r="N90" i="34"/>
  <c r="M90" i="34"/>
  <c r="L90" i="34"/>
  <c r="K90" i="34"/>
  <c r="J90" i="34"/>
  <c r="I90" i="34"/>
  <c r="G90" i="34"/>
  <c r="F90" i="34"/>
  <c r="P89" i="34"/>
  <c r="O89" i="34"/>
  <c r="N89" i="34"/>
  <c r="M89" i="34"/>
  <c r="L89" i="34"/>
  <c r="K89" i="34"/>
  <c r="J89" i="34"/>
  <c r="I89" i="34"/>
  <c r="G89" i="34"/>
  <c r="F89" i="34"/>
  <c r="P88" i="34"/>
  <c r="O88" i="34"/>
  <c r="N88" i="34"/>
  <c r="M88" i="34"/>
  <c r="L88" i="34"/>
  <c r="K88" i="34"/>
  <c r="J88" i="34"/>
  <c r="I88" i="34"/>
  <c r="G88" i="34" a="1"/>
  <c r="G88" i="34"/>
  <c r="F88" i="34" a="1"/>
  <c r="F88" i="34"/>
  <c r="P87" i="34"/>
  <c r="O87" i="34"/>
  <c r="N87" i="34"/>
  <c r="M87" i="34"/>
  <c r="L87" i="34"/>
  <c r="K87" i="34"/>
  <c r="J87" i="34"/>
  <c r="I87" i="34"/>
  <c r="G87" i="34" a="1"/>
  <c r="G87" i="34"/>
  <c r="F87" i="34" a="1"/>
  <c r="F87" i="34"/>
  <c r="P86" i="34"/>
  <c r="O86" i="34"/>
  <c r="N86" i="34"/>
  <c r="M86" i="34"/>
  <c r="L86" i="34"/>
  <c r="K86" i="34"/>
  <c r="J86" i="34"/>
  <c r="I86" i="34"/>
  <c r="G86" i="34" a="1"/>
  <c r="G86" i="34"/>
  <c r="F86" i="34" a="1"/>
  <c r="F86" i="34"/>
  <c r="P85" i="34"/>
  <c r="O85" i="34"/>
  <c r="N85" i="34"/>
  <c r="M85" i="34"/>
  <c r="L85" i="34"/>
  <c r="K85" i="34"/>
  <c r="J85" i="34"/>
  <c r="I85" i="34"/>
  <c r="G85" i="34" a="1"/>
  <c r="G85" i="34"/>
  <c r="F85" i="34" a="1"/>
  <c r="F85" i="34"/>
  <c r="P84" i="34"/>
  <c r="O84" i="34"/>
  <c r="N84" i="34"/>
  <c r="M84" i="34"/>
  <c r="L84" i="34"/>
  <c r="K84" i="34"/>
  <c r="J84" i="34"/>
  <c r="I84" i="34"/>
  <c r="G84" i="34" a="1"/>
  <c r="G84" i="34"/>
  <c r="F84" i="34" a="1"/>
  <c r="F84" i="34"/>
  <c r="P83" i="34"/>
  <c r="O83" i="34"/>
  <c r="N83" i="34"/>
  <c r="M83" i="34"/>
  <c r="L83" i="34"/>
  <c r="K83" i="34"/>
  <c r="J83" i="34"/>
  <c r="I83" i="34"/>
  <c r="G83" i="34" a="1"/>
  <c r="G83" i="34"/>
  <c r="F83" i="34" a="1"/>
  <c r="F83" i="34"/>
  <c r="P82" i="34"/>
  <c r="O82" i="34"/>
  <c r="N82" i="34"/>
  <c r="M82" i="34"/>
  <c r="L82" i="34"/>
  <c r="K82" i="34"/>
  <c r="J82" i="34"/>
  <c r="I82" i="34"/>
  <c r="H82" i="34" a="1"/>
  <c r="H82" i="34"/>
  <c r="G82" i="34" a="1"/>
  <c r="G82" i="34"/>
  <c r="P81" i="34"/>
  <c r="O81" i="34"/>
  <c r="N81" i="34"/>
  <c r="M81" i="34"/>
  <c r="L81" i="34"/>
  <c r="K81" i="34"/>
  <c r="J81" i="34"/>
  <c r="I81" i="34"/>
  <c r="H81" i="34" a="1"/>
  <c r="H81" i="34"/>
  <c r="G81" i="34" a="1"/>
  <c r="G81" i="34"/>
  <c r="P80" i="34"/>
  <c r="O80" i="34"/>
  <c r="N80" i="34"/>
  <c r="M80" i="34"/>
  <c r="L80" i="34"/>
  <c r="K80" i="34"/>
  <c r="J80" i="34"/>
  <c r="I80" i="34"/>
  <c r="H80" i="34" a="1"/>
  <c r="H80" i="34"/>
  <c r="G80" i="34" a="1"/>
  <c r="G80" i="34"/>
  <c r="P79" i="34"/>
  <c r="O79" i="34"/>
  <c r="N79" i="34"/>
  <c r="M79" i="34"/>
  <c r="L79" i="34"/>
  <c r="K79" i="34"/>
  <c r="J79" i="34"/>
  <c r="I79" i="34"/>
  <c r="G79" i="34" a="1"/>
  <c r="G79" i="34"/>
  <c r="P78" i="34"/>
  <c r="O78" i="34"/>
  <c r="N78" i="34"/>
  <c r="M78" i="34"/>
  <c r="L78" i="34"/>
  <c r="K78" i="34"/>
  <c r="J78" i="34"/>
  <c r="I78" i="34"/>
  <c r="G78" i="34" a="1"/>
  <c r="G78" i="34"/>
  <c r="P77" i="34"/>
  <c r="O77" i="34"/>
  <c r="N77" i="34"/>
  <c r="M77" i="34"/>
  <c r="L77" i="34"/>
  <c r="K77" i="34"/>
  <c r="J77" i="34"/>
  <c r="I77" i="34"/>
  <c r="H77" i="34" a="1"/>
  <c r="H77" i="34"/>
  <c r="G77" i="34" a="1"/>
  <c r="G77" i="34"/>
  <c r="P76" i="34"/>
  <c r="O76" i="34"/>
  <c r="N76" i="34"/>
  <c r="M76" i="34"/>
  <c r="L76" i="34"/>
  <c r="K76" i="34"/>
  <c r="J76" i="34"/>
  <c r="I76" i="34"/>
  <c r="H76" i="34" a="1"/>
  <c r="H76" i="34"/>
  <c r="G76" i="34" a="1"/>
  <c r="G76" i="34"/>
  <c r="P75" i="34"/>
  <c r="O75" i="34"/>
  <c r="N75" i="34"/>
  <c r="M75" i="34"/>
  <c r="L75" i="34"/>
  <c r="K75" i="34"/>
  <c r="J75" i="34"/>
  <c r="I75" i="34"/>
  <c r="H75" i="34" a="1"/>
  <c r="H75" i="34"/>
  <c r="G75" i="34" a="1"/>
  <c r="G75" i="34"/>
  <c r="P74" i="34"/>
  <c r="O74" i="34"/>
  <c r="N74" i="34"/>
  <c r="M74" i="34"/>
  <c r="L74" i="34"/>
  <c r="K74" i="34"/>
  <c r="J74" i="34"/>
  <c r="I74" i="34"/>
  <c r="H74" i="34" a="1"/>
  <c r="H74" i="34"/>
  <c r="G74" i="34" a="1"/>
  <c r="G74" i="34"/>
  <c r="P73" i="34"/>
  <c r="O73" i="34"/>
  <c r="N73" i="34"/>
  <c r="M73" i="34"/>
  <c r="L73" i="34"/>
  <c r="K73" i="34"/>
  <c r="J73" i="34"/>
  <c r="I73" i="34"/>
  <c r="G73" i="34" a="1"/>
  <c r="G73" i="34"/>
  <c r="P72" i="34"/>
  <c r="O72" i="34"/>
  <c r="N72" i="34"/>
  <c r="M72" i="34"/>
  <c r="L72" i="34"/>
  <c r="K72" i="34"/>
  <c r="J72" i="34"/>
  <c r="I72" i="34"/>
  <c r="G72" i="34" a="1"/>
  <c r="G72" i="34"/>
  <c r="P71" i="34"/>
  <c r="O71" i="34"/>
  <c r="N71" i="34"/>
  <c r="M71" i="34"/>
  <c r="L71" i="34"/>
  <c r="K71" i="34"/>
  <c r="J71" i="34"/>
  <c r="I71" i="34"/>
  <c r="G71" i="34" a="1"/>
  <c r="G71" i="34"/>
  <c r="P70" i="34"/>
  <c r="O70" i="34"/>
  <c r="N70" i="34"/>
  <c r="M70" i="34"/>
  <c r="L70" i="34"/>
  <c r="K70" i="34"/>
  <c r="J70" i="34"/>
  <c r="I70" i="34"/>
  <c r="G70" i="34" a="1"/>
  <c r="G70" i="34"/>
  <c r="P69" i="34"/>
  <c r="O69" i="34"/>
  <c r="N69" i="34"/>
  <c r="M69" i="34"/>
  <c r="L69" i="34"/>
  <c r="K69" i="34"/>
  <c r="J69" i="34"/>
  <c r="I69" i="34"/>
  <c r="G69" i="34" a="1"/>
  <c r="G69" i="34"/>
  <c r="P68" i="34"/>
  <c r="O68" i="34"/>
  <c r="N68" i="34"/>
  <c r="M68" i="34"/>
  <c r="L68" i="34"/>
  <c r="K68" i="34"/>
  <c r="J68" i="34"/>
  <c r="I68" i="34"/>
  <c r="G68" i="34" a="1"/>
  <c r="G68" i="34"/>
  <c r="P67" i="34"/>
  <c r="O67" i="34"/>
  <c r="N67" i="34"/>
  <c r="M67" i="34"/>
  <c r="L67" i="34"/>
  <c r="K67" i="34"/>
  <c r="J67" i="34"/>
  <c r="I67" i="34"/>
  <c r="G67" i="34" a="1"/>
  <c r="G67" i="34"/>
  <c r="P66" i="34"/>
  <c r="O66" i="34"/>
  <c r="N66" i="34"/>
  <c r="M66" i="34"/>
  <c r="L66" i="34"/>
  <c r="K66" i="34"/>
  <c r="J66" i="34"/>
  <c r="I66" i="34"/>
  <c r="G66" i="34" a="1"/>
  <c r="G66" i="34"/>
  <c r="P65" i="34"/>
  <c r="O65" i="34"/>
  <c r="N65" i="34"/>
  <c r="M65" i="34"/>
  <c r="L65" i="34"/>
  <c r="K65" i="34"/>
  <c r="J65" i="34"/>
  <c r="I65" i="34"/>
  <c r="G65" i="34" a="1"/>
  <c r="G65" i="34"/>
  <c r="P64" i="34"/>
  <c r="O64" i="34"/>
  <c r="N64" i="34"/>
  <c r="M64" i="34"/>
  <c r="L64" i="34"/>
  <c r="K64" i="34"/>
  <c r="J64" i="34"/>
  <c r="I64" i="34"/>
  <c r="H64" i="34"/>
  <c r="G64" i="34" a="1"/>
  <c r="G64" i="34"/>
  <c r="P63" i="34"/>
  <c r="O63" i="34"/>
  <c r="N63" i="34"/>
  <c r="M63" i="34"/>
  <c r="L63" i="34"/>
  <c r="K63" i="34"/>
  <c r="J63" i="34"/>
  <c r="I63" i="34"/>
  <c r="G63" i="34" a="1"/>
  <c r="G63" i="34"/>
  <c r="P62" i="34"/>
  <c r="O62" i="34"/>
  <c r="N62" i="34"/>
  <c r="M62" i="34"/>
  <c r="L62" i="34"/>
  <c r="K62" i="34"/>
  <c r="J62" i="34"/>
  <c r="I62" i="34"/>
  <c r="G62" i="34" a="1"/>
  <c r="G62" i="34"/>
  <c r="L61" i="34"/>
  <c r="K61" i="34"/>
  <c r="J61" i="34"/>
  <c r="I61" i="34"/>
  <c r="P60" i="34"/>
  <c r="O60" i="34"/>
  <c r="N60" i="34"/>
  <c r="M60" i="34"/>
  <c r="L60" i="34"/>
  <c r="K60" i="34"/>
  <c r="J60" i="34"/>
  <c r="I60" i="34"/>
  <c r="G60" i="34" a="1"/>
  <c r="G60" i="34"/>
  <c r="P59" i="34"/>
  <c r="O59" i="34"/>
  <c r="N59" i="34"/>
  <c r="M59" i="34"/>
  <c r="L59" i="34"/>
  <c r="K59" i="34"/>
  <c r="J59" i="34"/>
  <c r="I59" i="34"/>
  <c r="G59" i="34" a="1"/>
  <c r="G59" i="34"/>
  <c r="P58" i="34"/>
  <c r="O58" i="34"/>
  <c r="N58" i="34"/>
  <c r="M58" i="34"/>
  <c r="L58" i="34"/>
  <c r="K58" i="34"/>
  <c r="J58" i="34"/>
  <c r="I58" i="34"/>
  <c r="G58" i="34" a="1"/>
  <c r="G58" i="34"/>
  <c r="P57" i="34"/>
  <c r="O57" i="34"/>
  <c r="N57" i="34"/>
  <c r="M57" i="34"/>
  <c r="L57" i="34"/>
  <c r="K57" i="34"/>
  <c r="J57" i="34"/>
  <c r="I57" i="34"/>
  <c r="F57" i="34" a="1"/>
  <c r="F57" i="34"/>
  <c r="P56" i="34"/>
  <c r="O56" i="34"/>
  <c r="N56" i="34"/>
  <c r="M56" i="34"/>
  <c r="L56" i="34"/>
  <c r="K56" i="34"/>
  <c r="J56" i="34"/>
  <c r="I56" i="34"/>
  <c r="F56" i="34" a="1"/>
  <c r="F56" i="34"/>
  <c r="P55" i="34"/>
  <c r="O55" i="34"/>
  <c r="N55" i="34"/>
  <c r="M55" i="34"/>
  <c r="L55" i="34"/>
  <c r="K55" i="34"/>
  <c r="J55" i="34"/>
  <c r="I55" i="34"/>
  <c r="F55" i="34" a="1"/>
  <c r="F55" i="34"/>
  <c r="P54" i="34"/>
  <c r="O54" i="34"/>
  <c r="N54" i="34"/>
  <c r="M54" i="34"/>
  <c r="L54" i="34"/>
  <c r="K54" i="34"/>
  <c r="J54" i="34"/>
  <c r="I54" i="34"/>
  <c r="P53" i="34"/>
  <c r="O53" i="34"/>
  <c r="N53" i="34"/>
  <c r="M53" i="34"/>
  <c r="L53" i="34"/>
  <c r="K53" i="34"/>
  <c r="J53" i="34"/>
  <c r="I53" i="34"/>
  <c r="F53" i="34" a="1"/>
  <c r="F53" i="34"/>
  <c r="P52" i="34"/>
  <c r="O52" i="34"/>
  <c r="N52" i="34"/>
  <c r="M52" i="34"/>
  <c r="L52" i="34"/>
  <c r="K52" i="34"/>
  <c r="J52" i="34"/>
  <c r="I52" i="34"/>
  <c r="F52" i="34" a="1"/>
  <c r="F52" i="34"/>
  <c r="P51" i="34"/>
  <c r="O51" i="34"/>
  <c r="N51" i="34"/>
  <c r="M51" i="34"/>
  <c r="L51" i="34"/>
  <c r="K51" i="34"/>
  <c r="J51" i="34"/>
  <c r="I51" i="34"/>
  <c r="F51" i="34" a="1"/>
  <c r="F51" i="34"/>
  <c r="R50" i="34"/>
  <c r="P50" i="34"/>
  <c r="O50" i="34"/>
  <c r="N50" i="34"/>
  <c r="M50" i="34"/>
  <c r="L50" i="34"/>
  <c r="K50" i="34"/>
  <c r="J50" i="34"/>
  <c r="I50" i="34"/>
  <c r="G50" i="34" a="1"/>
  <c r="G50" i="34"/>
  <c r="F50" i="34" a="1"/>
  <c r="F50" i="34"/>
  <c r="R49" i="34"/>
  <c r="P49" i="34"/>
  <c r="O49" i="34"/>
  <c r="N49" i="34"/>
  <c r="M49" i="34"/>
  <c r="L49" i="34"/>
  <c r="K49" i="34"/>
  <c r="J49" i="34"/>
  <c r="I49" i="34"/>
  <c r="G49" i="34" a="1"/>
  <c r="G49" i="34"/>
  <c r="F49" i="34" a="1"/>
  <c r="F49" i="34"/>
  <c r="R48" i="34"/>
  <c r="P48" i="34"/>
  <c r="O48" i="34"/>
  <c r="N48" i="34"/>
  <c r="M48" i="34"/>
  <c r="L48" i="34"/>
  <c r="K48" i="34"/>
  <c r="J48" i="34"/>
  <c r="I48" i="34"/>
  <c r="G48" i="34" a="1"/>
  <c r="G48" i="34"/>
  <c r="F48" i="34" a="1"/>
  <c r="F48" i="34"/>
  <c r="R47" i="34"/>
  <c r="P47" i="34"/>
  <c r="O47" i="34"/>
  <c r="N47" i="34"/>
  <c r="M47" i="34"/>
  <c r="L47" i="34"/>
  <c r="K47" i="34"/>
  <c r="J47" i="34"/>
  <c r="I47" i="34"/>
  <c r="G47" i="34" a="1"/>
  <c r="G47" i="34"/>
  <c r="F47" i="34" a="1"/>
  <c r="F47" i="34"/>
  <c r="P46" i="34"/>
  <c r="O46" i="34"/>
  <c r="N46" i="34"/>
  <c r="M46" i="34"/>
  <c r="L46" i="34"/>
  <c r="K46" i="34"/>
  <c r="J46" i="34"/>
  <c r="I46" i="34"/>
  <c r="G46" i="34" a="1"/>
  <c r="G46" i="34"/>
  <c r="F46" i="34" a="1"/>
  <c r="F46" i="34"/>
  <c r="R45" i="34"/>
  <c r="P45" i="34"/>
  <c r="O45" i="34"/>
  <c r="N45" i="34"/>
  <c r="M45" i="34"/>
  <c r="L45" i="34"/>
  <c r="K45" i="34"/>
  <c r="J45" i="34"/>
  <c r="I45" i="34"/>
  <c r="G45" i="34" a="1"/>
  <c r="G45" i="34"/>
  <c r="F45" i="34" a="1"/>
  <c r="F45" i="34"/>
  <c r="R44" i="34"/>
  <c r="P44" i="34"/>
  <c r="O44" i="34"/>
  <c r="N44" i="34"/>
  <c r="M44" i="34"/>
  <c r="L44" i="34"/>
  <c r="K44" i="34"/>
  <c r="J44" i="34"/>
  <c r="I44" i="34"/>
  <c r="G44" i="34" a="1"/>
  <c r="G44" i="34"/>
  <c r="F44" i="34" a="1"/>
  <c r="F44" i="34"/>
  <c r="R43" i="34"/>
  <c r="P43" i="34"/>
  <c r="O43" i="34"/>
  <c r="N43" i="34"/>
  <c r="M43" i="34"/>
  <c r="L43" i="34"/>
  <c r="K43" i="34"/>
  <c r="J43" i="34"/>
  <c r="I43" i="34"/>
  <c r="G43" i="34" a="1"/>
  <c r="G43" i="34"/>
  <c r="F43" i="34" a="1"/>
  <c r="F43" i="34"/>
  <c r="R42" i="34"/>
  <c r="P42" i="34"/>
  <c r="O42" i="34"/>
  <c r="N42" i="34"/>
  <c r="M42" i="34"/>
  <c r="L42" i="34"/>
  <c r="K42" i="34"/>
  <c r="J42" i="34"/>
  <c r="I42" i="34"/>
  <c r="G42" i="34" a="1"/>
  <c r="G42" i="34"/>
  <c r="F42" i="34" a="1"/>
  <c r="F42" i="34"/>
  <c r="P41" i="34"/>
  <c r="O41" i="34"/>
  <c r="N41" i="34"/>
  <c r="M41" i="34"/>
  <c r="L41" i="34"/>
  <c r="K41" i="34"/>
  <c r="J41" i="34"/>
  <c r="I41" i="34"/>
  <c r="G41" i="34" a="1"/>
  <c r="G41" i="34"/>
  <c r="F41" i="34" a="1"/>
  <c r="F41" i="34"/>
  <c r="R40" i="34"/>
  <c r="P40" i="34"/>
  <c r="O40" i="34"/>
  <c r="N40" i="34"/>
  <c r="M40" i="34"/>
  <c r="L40" i="34"/>
  <c r="K40" i="34"/>
  <c r="J40" i="34"/>
  <c r="I40" i="34"/>
  <c r="G40" i="34" a="1"/>
  <c r="G40" i="34"/>
  <c r="F40" i="34" a="1"/>
  <c r="F40" i="34"/>
  <c r="R39" i="34"/>
  <c r="P39" i="34"/>
  <c r="O39" i="34"/>
  <c r="N39" i="34"/>
  <c r="M39" i="34"/>
  <c r="L39" i="34"/>
  <c r="K39" i="34"/>
  <c r="J39" i="34"/>
  <c r="I39" i="34"/>
  <c r="G39" i="34" a="1"/>
  <c r="G39" i="34"/>
  <c r="F39" i="34" a="1"/>
  <c r="F39" i="34"/>
  <c r="R38" i="34"/>
  <c r="P38" i="34"/>
  <c r="O38" i="34"/>
  <c r="N38" i="34"/>
  <c r="M38" i="34"/>
  <c r="L38" i="34"/>
  <c r="K38" i="34"/>
  <c r="J38" i="34"/>
  <c r="I38" i="34"/>
  <c r="G38" i="34" a="1"/>
  <c r="G38" i="34"/>
  <c r="F38" i="34" a="1"/>
  <c r="F38" i="34"/>
  <c r="R37" i="34"/>
  <c r="P37" i="34"/>
  <c r="O37" i="34"/>
  <c r="N37" i="34"/>
  <c r="M37" i="34"/>
  <c r="L37" i="34"/>
  <c r="K37" i="34"/>
  <c r="J37" i="34"/>
  <c r="I37" i="34"/>
  <c r="G37" i="34" a="1"/>
  <c r="G37" i="34"/>
  <c r="F37" i="34" a="1"/>
  <c r="F37" i="34"/>
  <c r="R36" i="34"/>
  <c r="P36" i="34"/>
  <c r="O36" i="34"/>
  <c r="N36" i="34"/>
  <c r="M36" i="34"/>
  <c r="L36" i="34"/>
  <c r="K36" i="34"/>
  <c r="J36" i="34"/>
  <c r="I36" i="34"/>
  <c r="G36" i="34" a="1"/>
  <c r="G36" i="34"/>
  <c r="F36" i="34" a="1"/>
  <c r="F36" i="34"/>
  <c r="P35" i="34"/>
  <c r="O35" i="34"/>
  <c r="N35" i="34"/>
  <c r="M35" i="34"/>
  <c r="L35" i="34"/>
  <c r="K35" i="34"/>
  <c r="J35" i="34"/>
  <c r="I35" i="34"/>
  <c r="G35" i="34" a="1"/>
  <c r="G35" i="34"/>
  <c r="F35" i="34" a="1"/>
  <c r="F35" i="34"/>
  <c r="R34" i="34"/>
  <c r="P34" i="34"/>
  <c r="O34" i="34"/>
  <c r="N34" i="34"/>
  <c r="M34" i="34"/>
  <c r="L34" i="34"/>
  <c r="K34" i="34"/>
  <c r="J34" i="34"/>
  <c r="I34" i="34"/>
  <c r="G34" i="34" a="1"/>
  <c r="G34" i="34"/>
  <c r="F34" i="34" a="1"/>
  <c r="F34" i="34"/>
  <c r="R33" i="34"/>
  <c r="P33" i="34"/>
  <c r="O33" i="34"/>
  <c r="N33" i="34"/>
  <c r="M33" i="34"/>
  <c r="L33" i="34"/>
  <c r="K33" i="34"/>
  <c r="J33" i="34"/>
  <c r="I33" i="34"/>
  <c r="G33" i="34" a="1"/>
  <c r="G33" i="34"/>
  <c r="F33" i="34" a="1"/>
  <c r="F33" i="34"/>
  <c r="R32" i="34"/>
  <c r="P32" i="34"/>
  <c r="O32" i="34"/>
  <c r="N32" i="34"/>
  <c r="M32" i="34"/>
  <c r="L32" i="34"/>
  <c r="K32" i="34"/>
  <c r="J32" i="34"/>
  <c r="I32" i="34"/>
  <c r="G32" i="34" a="1"/>
  <c r="G32" i="34"/>
  <c r="F32" i="34" a="1"/>
  <c r="F32" i="34"/>
  <c r="R31" i="34"/>
  <c r="P31" i="34"/>
  <c r="O31" i="34"/>
  <c r="N31" i="34"/>
  <c r="M31" i="34"/>
  <c r="L31" i="34"/>
  <c r="K31" i="34"/>
  <c r="J31" i="34"/>
  <c r="I31" i="34"/>
  <c r="G31" i="34" a="1"/>
  <c r="G31" i="34"/>
  <c r="F31" i="34" a="1"/>
  <c r="F31" i="34"/>
  <c r="R30" i="34"/>
  <c r="P30" i="34"/>
  <c r="O30" i="34"/>
  <c r="N30" i="34"/>
  <c r="M30" i="34"/>
  <c r="L30" i="34"/>
  <c r="K30" i="34"/>
  <c r="J30" i="34"/>
  <c r="I30" i="34"/>
  <c r="G30" i="34" a="1"/>
  <c r="G30" i="34"/>
  <c r="F30" i="34" a="1"/>
  <c r="F30" i="34"/>
  <c r="P29" i="34"/>
  <c r="O29" i="34"/>
  <c r="N29" i="34"/>
  <c r="M29" i="34"/>
  <c r="L29" i="34"/>
  <c r="K29" i="34"/>
  <c r="J29" i="34"/>
  <c r="I29" i="34"/>
  <c r="G29" i="34" a="1"/>
  <c r="G29" i="34"/>
  <c r="F29" i="34" a="1"/>
  <c r="F29" i="34"/>
  <c r="R28" i="34"/>
  <c r="P28" i="34"/>
  <c r="O28" i="34"/>
  <c r="N28" i="34"/>
  <c r="M28" i="34"/>
  <c r="L28" i="34"/>
  <c r="K28" i="34"/>
  <c r="J28" i="34"/>
  <c r="I28" i="34"/>
  <c r="G28" i="34" a="1"/>
  <c r="G28" i="34"/>
  <c r="F28" i="34" a="1"/>
  <c r="F28" i="34"/>
  <c r="R27" i="34"/>
  <c r="P27" i="34"/>
  <c r="O27" i="34"/>
  <c r="N27" i="34"/>
  <c r="M27" i="34"/>
  <c r="L27" i="34"/>
  <c r="K27" i="34"/>
  <c r="J27" i="34"/>
  <c r="I27" i="34"/>
  <c r="G27" i="34" a="1"/>
  <c r="G27" i="34"/>
  <c r="F27" i="34" a="1"/>
  <c r="F27" i="34"/>
  <c r="R26" i="34"/>
  <c r="P26" i="34"/>
  <c r="O26" i="34"/>
  <c r="N26" i="34"/>
  <c r="M26" i="34"/>
  <c r="L26" i="34"/>
  <c r="K26" i="34"/>
  <c r="J26" i="34"/>
  <c r="I26" i="34"/>
  <c r="G26" i="34" a="1"/>
  <c r="G26" i="34"/>
  <c r="F26" i="34" a="1"/>
  <c r="F26" i="34"/>
  <c r="R25" i="34"/>
  <c r="P25" i="34"/>
  <c r="O25" i="34"/>
  <c r="N25" i="34"/>
  <c r="M25" i="34"/>
  <c r="L25" i="34"/>
  <c r="K25" i="34"/>
  <c r="J25" i="34"/>
  <c r="I25" i="34"/>
  <c r="G25" i="34" a="1"/>
  <c r="G25" i="34"/>
  <c r="F25" i="34" a="1"/>
  <c r="F25" i="34"/>
  <c r="R24" i="34"/>
  <c r="P24" i="34"/>
  <c r="O24" i="34"/>
  <c r="N24" i="34"/>
  <c r="M24" i="34"/>
  <c r="L24" i="34"/>
  <c r="K24" i="34"/>
  <c r="J24" i="34"/>
  <c r="I24" i="34"/>
  <c r="G24" i="34" a="1"/>
  <c r="G24" i="34"/>
  <c r="F24" i="34" a="1"/>
  <c r="F24" i="34"/>
  <c r="P23" i="34"/>
  <c r="O23" i="34"/>
  <c r="N23" i="34"/>
  <c r="M23" i="34"/>
  <c r="L23" i="34"/>
  <c r="K23" i="34"/>
  <c r="J23" i="34"/>
  <c r="I23" i="34"/>
  <c r="G23" i="34" a="1"/>
  <c r="G23" i="34"/>
  <c r="F23" i="34" a="1"/>
  <c r="F23" i="34"/>
  <c r="R22" i="34"/>
  <c r="P22" i="34"/>
  <c r="O22" i="34"/>
  <c r="N22" i="34"/>
  <c r="M22" i="34"/>
  <c r="L22" i="34"/>
  <c r="K22" i="34"/>
  <c r="J22" i="34"/>
  <c r="I22" i="34"/>
  <c r="H22" i="34" a="1"/>
  <c r="H22" i="34"/>
  <c r="G22" i="34" a="1"/>
  <c r="G22" i="34"/>
  <c r="F22" i="34" a="1"/>
  <c r="F22" i="34"/>
  <c r="R21" i="34"/>
  <c r="P21" i="34"/>
  <c r="O21" i="34"/>
  <c r="N21" i="34"/>
  <c r="M21" i="34"/>
  <c r="L21" i="34"/>
  <c r="K21" i="34"/>
  <c r="J21" i="34"/>
  <c r="I21" i="34"/>
  <c r="H21" i="34" a="1"/>
  <c r="H21" i="34"/>
  <c r="G21" i="34" a="1"/>
  <c r="G21" i="34"/>
  <c r="F21" i="34" a="1"/>
  <c r="F21" i="34"/>
  <c r="R20" i="34"/>
  <c r="P20" i="34"/>
  <c r="O20" i="34"/>
  <c r="N20" i="34"/>
  <c r="M20" i="34"/>
  <c r="L20" i="34"/>
  <c r="K20" i="34"/>
  <c r="J20" i="34"/>
  <c r="I20" i="34"/>
  <c r="H20" i="34" a="1"/>
  <c r="H20" i="34"/>
  <c r="G20" i="34" a="1"/>
  <c r="G20" i="34"/>
  <c r="F20" i="34" a="1"/>
  <c r="F20" i="34"/>
  <c r="R19" i="34"/>
  <c r="P19" i="34"/>
  <c r="O19" i="34"/>
  <c r="N19" i="34"/>
  <c r="M19" i="34"/>
  <c r="L19" i="34"/>
  <c r="K19" i="34"/>
  <c r="J19" i="34"/>
  <c r="I19" i="34"/>
  <c r="H19" i="34" a="1"/>
  <c r="H19" i="34"/>
  <c r="G19" i="34" a="1"/>
  <c r="G19" i="34"/>
  <c r="F19" i="34" a="1"/>
  <c r="F19" i="34"/>
  <c r="R18" i="34"/>
  <c r="P18" i="34"/>
  <c r="O18" i="34"/>
  <c r="N18" i="34"/>
  <c r="M18" i="34"/>
  <c r="L18" i="34"/>
  <c r="K18" i="34"/>
  <c r="J18" i="34"/>
  <c r="I18" i="34"/>
  <c r="H18" i="34" a="1"/>
  <c r="H18" i="34"/>
  <c r="G18" i="34" a="1"/>
  <c r="G18" i="34"/>
  <c r="F18" i="34" a="1"/>
  <c r="F18" i="34"/>
  <c r="P17" i="34"/>
  <c r="O17" i="34"/>
  <c r="N17" i="34"/>
  <c r="M17" i="34"/>
  <c r="L17" i="34"/>
  <c r="K17" i="34"/>
  <c r="J17" i="34"/>
  <c r="I17" i="34"/>
  <c r="H17" i="34" a="1"/>
  <c r="H17" i="34"/>
  <c r="G17" i="34" a="1"/>
  <c r="G17" i="34"/>
  <c r="F17" i="34" a="1"/>
  <c r="F17" i="34"/>
  <c r="R16" i="34"/>
  <c r="P16" i="34"/>
  <c r="O16" i="34"/>
  <c r="N16" i="34"/>
  <c r="M16" i="34"/>
  <c r="L16" i="34"/>
  <c r="K16" i="34"/>
  <c r="J16" i="34"/>
  <c r="I16" i="34"/>
  <c r="H16" i="34" a="1"/>
  <c r="H16" i="34"/>
  <c r="G16" i="34" a="1"/>
  <c r="G16" i="34"/>
  <c r="F16" i="34" a="1"/>
  <c r="F16" i="34"/>
  <c r="R15" i="34"/>
  <c r="P15" i="34"/>
  <c r="O15" i="34"/>
  <c r="N15" i="34"/>
  <c r="M15" i="34"/>
  <c r="L15" i="34"/>
  <c r="K15" i="34"/>
  <c r="J15" i="34"/>
  <c r="I15" i="34"/>
  <c r="H15" i="34" a="1"/>
  <c r="H15" i="34"/>
  <c r="G15" i="34" a="1"/>
  <c r="G15" i="34"/>
  <c r="F15" i="34" a="1"/>
  <c r="F15" i="34"/>
  <c r="R14" i="34"/>
  <c r="P14" i="34"/>
  <c r="O14" i="34"/>
  <c r="N14" i="34"/>
  <c r="M14" i="34"/>
  <c r="L14" i="34"/>
  <c r="K14" i="34"/>
  <c r="J14" i="34"/>
  <c r="I14" i="34"/>
  <c r="H14" i="34" a="1"/>
  <c r="H14" i="34"/>
  <c r="G14" i="34" a="1"/>
  <c r="G14" i="34"/>
  <c r="F14" i="34" a="1"/>
  <c r="F14" i="34"/>
  <c r="R13" i="34"/>
  <c r="P13" i="34"/>
  <c r="O13" i="34"/>
  <c r="N13" i="34"/>
  <c r="M13" i="34"/>
  <c r="L13" i="34"/>
  <c r="K13" i="34"/>
  <c r="J13" i="34"/>
  <c r="I13" i="34"/>
  <c r="H13" i="34" a="1"/>
  <c r="H13" i="34"/>
  <c r="G13" i="34" a="1"/>
  <c r="G13" i="34"/>
  <c r="F13" i="34" a="1"/>
  <c r="F13" i="34"/>
  <c r="R12" i="34"/>
  <c r="P12" i="34"/>
  <c r="O12" i="34"/>
  <c r="N12" i="34"/>
  <c r="M12" i="34"/>
  <c r="L12" i="34"/>
  <c r="K12" i="34"/>
  <c r="J12" i="34"/>
  <c r="I12" i="34"/>
  <c r="H12" i="34" a="1"/>
  <c r="H12" i="34"/>
  <c r="G12" i="34" a="1"/>
  <c r="G12" i="34"/>
  <c r="F12" i="34" a="1"/>
  <c r="F12" i="34"/>
  <c r="P11" i="34"/>
  <c r="O11" i="34"/>
  <c r="N11" i="34"/>
  <c r="M11" i="34"/>
  <c r="L11" i="34"/>
  <c r="K11" i="34"/>
  <c r="J11" i="34"/>
  <c r="I11" i="34"/>
  <c r="H11" i="34" a="1"/>
  <c r="H11" i="34"/>
  <c r="G11" i="34" a="1"/>
  <c r="G11" i="34"/>
  <c r="F11" i="34" a="1"/>
  <c r="F11" i="34"/>
  <c r="P10" i="34"/>
  <c r="O10" i="34"/>
  <c r="N10" i="34"/>
  <c r="M10" i="34"/>
  <c r="L10" i="34"/>
  <c r="K10" i="34"/>
  <c r="J10" i="34"/>
  <c r="I10" i="34"/>
  <c r="E10" i="34"/>
  <c r="P9" i="34"/>
  <c r="O9" i="34"/>
  <c r="N9" i="34"/>
  <c r="M9" i="34"/>
  <c r="L9" i="34"/>
  <c r="K9" i="34"/>
  <c r="J9" i="34"/>
  <c r="I9" i="34"/>
  <c r="E9" i="34"/>
  <c r="P8" i="34"/>
  <c r="O8" i="34"/>
  <c r="N8" i="34"/>
  <c r="M8" i="34"/>
  <c r="L8" i="34"/>
  <c r="K8" i="34"/>
  <c r="J8" i="34"/>
  <c r="I8" i="34"/>
  <c r="E8" i="34"/>
  <c r="P7" i="34"/>
  <c r="O7" i="34"/>
  <c r="N7" i="34"/>
  <c r="M7" i="34"/>
  <c r="L7" i="34"/>
  <c r="K7" i="34"/>
  <c r="J7" i="34"/>
  <c r="I7" i="34"/>
  <c r="E7" i="34"/>
  <c r="P6" i="34"/>
  <c r="O6" i="34"/>
  <c r="N6" i="34"/>
  <c r="M6" i="34"/>
  <c r="L6" i="34"/>
  <c r="K6" i="34"/>
  <c r="J6" i="34"/>
  <c r="I6" i="34"/>
  <c r="E6" i="34"/>
  <c r="P5" i="34"/>
  <c r="O5" i="34"/>
  <c r="N5" i="34"/>
  <c r="M5" i="34"/>
  <c r="L5" i="34"/>
  <c r="K5" i="34"/>
  <c r="J5" i="34"/>
  <c r="I5" i="34"/>
  <c r="E5" i="34"/>
  <c r="P4" i="34"/>
  <c r="O4" i="34"/>
  <c r="N4" i="34"/>
  <c r="M4" i="34"/>
  <c r="L4" i="34"/>
  <c r="K4" i="34"/>
  <c r="J4" i="34"/>
  <c r="I4" i="34"/>
  <c r="E4" i="34"/>
  <c r="P3" i="34"/>
  <c r="O3" i="34"/>
  <c r="N3" i="34"/>
  <c r="M3" i="34"/>
  <c r="L3" i="34"/>
  <c r="K3" i="34"/>
  <c r="J3" i="34"/>
  <c r="I3" i="34"/>
  <c r="E3" i="34"/>
  <c r="P2" i="34"/>
  <c r="O2" i="34"/>
  <c r="N2" i="34"/>
  <c r="M2" i="34"/>
  <c r="L2" i="34"/>
  <c r="K2" i="34"/>
  <c r="J2" i="34"/>
  <c r="I2" i="34"/>
  <c r="E2" i="34"/>
  <c r="AJ51" i="32"/>
  <c r="AO50" i="32"/>
  <c r="AN50" i="32" a="1"/>
  <c r="AN50" i="32"/>
  <c r="AJ50" i="32"/>
  <c r="AJ48" i="32"/>
  <c r="AJ47" i="32"/>
  <c r="AJ46" i="32"/>
  <c r="AO45" i="32"/>
  <c r="AN45" i="32" a="1"/>
  <c r="AN45" i="32"/>
  <c r="AJ45" i="32"/>
  <c r="AU43" i="32"/>
  <c r="AJ43" i="32"/>
  <c r="AU42" i="32"/>
  <c r="AJ42" i="32"/>
  <c r="AU41" i="32"/>
  <c r="AJ41" i="32"/>
  <c r="AU40" i="32"/>
  <c r="AO40" i="32"/>
  <c r="AN40" i="32" a="1"/>
  <c r="AN40" i="32"/>
  <c r="AJ40" i="32"/>
  <c r="AU39" i="32"/>
  <c r="AU38" i="32"/>
  <c r="AJ38" i="32"/>
  <c r="AU37" i="32"/>
  <c r="AJ37" i="32"/>
  <c r="AU36" i="32"/>
  <c r="AJ36" i="32"/>
  <c r="AU35" i="32"/>
  <c r="AJ35" i="32"/>
  <c r="AU34" i="32"/>
  <c r="AO34" i="32"/>
  <c r="AJ34" i="32"/>
  <c r="AU33" i="32"/>
  <c r="AR33" i="32" a="1"/>
  <c r="AR33" i="32"/>
  <c r="AO33" i="32"/>
  <c r="AN33" i="32" a="1"/>
  <c r="AN33" i="32"/>
  <c r="AJ33" i="32"/>
  <c r="AU32" i="32"/>
  <c r="AR32" i="32" a="1"/>
  <c r="AR32" i="32"/>
  <c r="AP32" i="32"/>
  <c r="AO32" i="32" a="1"/>
  <c r="AO32" i="32"/>
  <c r="AN32" i="32" a="1"/>
  <c r="AN32" i="32"/>
  <c r="AJ32" i="32"/>
  <c r="BA23" i="32"/>
  <c r="AZ23" i="32"/>
  <c r="AY23" i="32"/>
  <c r="AV23" i="32"/>
  <c r="AU23" i="32"/>
  <c r="AT23" i="32"/>
  <c r="AS23" i="32"/>
  <c r="AR23" i="32"/>
  <c r="AQ23" i="32"/>
  <c r="AP23" i="32"/>
  <c r="AO23" i="32"/>
  <c r="AN23" i="32"/>
  <c r="AM23" i="32"/>
  <c r="AL23" i="32"/>
  <c r="AK23" i="32"/>
  <c r="AJ23" i="32"/>
  <c r="AI23" i="32"/>
  <c r="AH23" i="32"/>
  <c r="AG23" i="32"/>
  <c r="AF23" i="32"/>
  <c r="AE23" i="32"/>
  <c r="AD23" i="32"/>
  <c r="U23" i="32"/>
  <c r="T23" i="32"/>
  <c r="S23" i="32"/>
  <c r="BA22" i="32"/>
  <c r="AQ22" i="32"/>
  <c r="AK22" i="32"/>
  <c r="AJ22" i="32"/>
  <c r="AH22" i="32"/>
  <c r="AG22" i="32"/>
  <c r="AF22" i="32"/>
  <c r="AE22" i="32"/>
  <c r="U22" i="32"/>
  <c r="O22" i="32"/>
  <c r="AX14" i="32"/>
  <c r="AW14" i="32"/>
  <c r="AV14" i="32"/>
  <c r="AU14" i="32"/>
  <c r="AT14" i="32"/>
  <c r="AS14" i="32"/>
  <c r="AQ14" i="32"/>
  <c r="AP14" i="32"/>
  <c r="AM14" i="32"/>
  <c r="AL14" i="32"/>
  <c r="AJ14" i="32"/>
  <c r="AH14" i="32"/>
  <c r="AG14" i="32"/>
  <c r="AF14" i="32"/>
  <c r="AC14" i="32"/>
  <c r="R14" i="32"/>
  <c r="Q14" i="32"/>
  <c r="P14" i="32"/>
  <c r="J14" i="32"/>
  <c r="H14" i="32"/>
  <c r="AX13" i="32"/>
  <c r="AW13" i="32"/>
  <c r="AV13" i="32"/>
  <c r="AU13" i="32"/>
  <c r="AT13" i="32"/>
  <c r="AS13" i="32"/>
  <c r="AQ13" i="32"/>
  <c r="AP13" i="32"/>
  <c r="AM13" i="32"/>
  <c r="AL13" i="32"/>
  <c r="AJ13" i="32"/>
  <c r="AH13" i="32"/>
  <c r="AG13" i="32"/>
  <c r="AF13" i="32"/>
  <c r="AC13" i="32"/>
  <c r="R13" i="32"/>
  <c r="Q13" i="32"/>
  <c r="P13" i="32"/>
  <c r="J13" i="32"/>
  <c r="H13" i="32"/>
  <c r="O2" i="32"/>
  <c r="K1" i="32"/>
  <c r="I1" i="32"/>
  <c r="AJ84" i="11"/>
  <c r="AO83" i="11"/>
  <c r="AN83" i="11" a="1"/>
  <c r="AN83" i="11"/>
  <c r="AJ83" i="11"/>
  <c r="AJ81" i="11"/>
  <c r="AJ80" i="11"/>
  <c r="AJ79" i="11"/>
  <c r="AO78" i="11"/>
  <c r="AN78" i="11" a="1"/>
  <c r="AN78" i="11"/>
  <c r="AJ78" i="11"/>
  <c r="AJ76" i="11"/>
  <c r="AJ75" i="11"/>
  <c r="AJ74" i="11"/>
  <c r="AO73" i="11"/>
  <c r="AN73" i="11" a="1"/>
  <c r="AN73" i="11"/>
  <c r="AJ73" i="11"/>
  <c r="AJ71" i="11"/>
  <c r="AJ70" i="11"/>
  <c r="AJ69" i="11"/>
  <c r="AJ68" i="11"/>
  <c r="AO67" i="11"/>
  <c r="AJ67" i="11"/>
  <c r="AR66" i="11" a="1"/>
  <c r="AR66" i="11"/>
  <c r="AO66" i="11"/>
  <c r="AN66" i="11" a="1"/>
  <c r="AN66" i="11"/>
  <c r="AJ66" i="11"/>
  <c r="AR65" i="11" a="1"/>
  <c r="AR65" i="11"/>
  <c r="AO65" i="11" a="1"/>
  <c r="AO65" i="11"/>
  <c r="AN65" i="11" a="1"/>
  <c r="AN65" i="11"/>
  <c r="AJ65" i="11"/>
  <c r="AJ63" i="11"/>
  <c r="AJ62" i="11"/>
  <c r="AJ61" i="11"/>
  <c r="AJ60" i="11"/>
  <c r="AJ59" i="11"/>
  <c r="AU58" i="11"/>
  <c r="AJ58" i="11"/>
  <c r="AU57" i="11"/>
  <c r="AU56" i="11"/>
  <c r="AJ56" i="11"/>
  <c r="AU55" i="11"/>
  <c r="AJ55" i="11"/>
  <c r="AU54" i="11"/>
  <c r="AJ54" i="11"/>
  <c r="AU53" i="11"/>
  <c r="AJ53" i="11"/>
  <c r="AU52" i="11"/>
  <c r="AJ52" i="11"/>
  <c r="AU51" i="11"/>
  <c r="AN51" i="11" a="1"/>
  <c r="AN51" i="11"/>
  <c r="AJ51" i="11"/>
  <c r="AU50" i="11"/>
  <c r="AU49" i="11"/>
  <c r="AR49" i="11" a="1"/>
  <c r="AR49" i="11"/>
  <c r="AJ49" i="11"/>
  <c r="AU48" i="11"/>
  <c r="AR48" i="11" a="1"/>
  <c r="AR48" i="11"/>
  <c r="AP48" i="11"/>
  <c r="AO48" i="11"/>
  <c r="AN48" i="11" a="1"/>
  <c r="AN48" i="11"/>
  <c r="AJ48" i="11"/>
  <c r="AU47" i="11"/>
  <c r="AP47" i="11"/>
  <c r="AO47" i="11"/>
  <c r="AN47" i="11" a="1"/>
  <c r="AN47" i="11"/>
  <c r="AJ47" i="11"/>
  <c r="AX43" i="11"/>
  <c r="AW43" i="11"/>
  <c r="AV43" i="11"/>
  <c r="AU43" i="11"/>
  <c r="AT43" i="11"/>
  <c r="AS43" i="11"/>
  <c r="AQ43" i="11"/>
  <c r="AP43" i="11"/>
  <c r="AJ43" i="11"/>
  <c r="AI43" i="11"/>
  <c r="AH43" i="11"/>
  <c r="AF43" i="11"/>
  <c r="AE43" i="11"/>
  <c r="AC43" i="11"/>
  <c r="Q43" i="11"/>
  <c r="P43" i="11"/>
  <c r="O43" i="11"/>
  <c r="BA31" i="11"/>
  <c r="AZ31"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X31" i="11"/>
  <c r="W31" i="11"/>
  <c r="V31" i="11"/>
  <c r="U31" i="11"/>
  <c r="T31" i="11"/>
  <c r="BA30" i="11"/>
  <c r="AZ30" i="11"/>
  <c r="AY30" i="11"/>
  <c r="AX30" i="11"/>
  <c r="AW30" i="11"/>
  <c r="AV30" i="11"/>
  <c r="AU30" i="11"/>
  <c r="AT30" i="11"/>
  <c r="AS30" i="11"/>
  <c r="AR30" i="11"/>
  <c r="AQ30" i="11"/>
  <c r="AP30" i="11"/>
  <c r="AO30" i="11"/>
  <c r="AN30" i="11"/>
  <c r="AM30" i="11"/>
  <c r="AL30" i="11"/>
  <c r="AK30" i="11"/>
  <c r="AJ30" i="11"/>
  <c r="AI30" i="11"/>
  <c r="AH30" i="11"/>
  <c r="AG30" i="11"/>
  <c r="AF30" i="11"/>
  <c r="AE30" i="11"/>
  <c r="AD30" i="11"/>
  <c r="AC30" i="11"/>
  <c r="X30" i="11"/>
  <c r="W30" i="11"/>
  <c r="V30" i="11"/>
  <c r="U30" i="11"/>
  <c r="T30" i="11"/>
  <c r="BA29" i="11"/>
  <c r="AX29" i="11"/>
  <c r="AW29" i="11"/>
  <c r="AU29" i="11"/>
  <c r="AT29" i="11"/>
  <c r="AS29" i="11"/>
  <c r="AQ29" i="11"/>
  <c r="AP29" i="11"/>
  <c r="AK29" i="11"/>
  <c r="AJ29" i="11"/>
  <c r="AH29" i="11"/>
  <c r="AG29" i="11"/>
  <c r="AF29" i="11"/>
  <c r="AE29" i="11"/>
  <c r="AC29" i="11"/>
  <c r="X29" i="11"/>
  <c r="U29" i="11"/>
  <c r="T29" i="11"/>
  <c r="AX19" i="11"/>
  <c r="AW19" i="11"/>
  <c r="AV19" i="11"/>
  <c r="AU19" i="11"/>
  <c r="AT19" i="11"/>
  <c r="AS19" i="11"/>
  <c r="AP19" i="11"/>
  <c r="AM19" i="11"/>
  <c r="AL19" i="11"/>
  <c r="AJ19" i="11"/>
  <c r="AF19" i="11"/>
  <c r="AC19" i="11"/>
  <c r="R19" i="11"/>
  <c r="Q19" i="11"/>
  <c r="P19" i="11"/>
  <c r="J19" i="11"/>
  <c r="H19" i="11"/>
  <c r="E19" i="11"/>
  <c r="AX18" i="11"/>
  <c r="AW18" i="11"/>
  <c r="AV18" i="11"/>
  <c r="AU18" i="11"/>
  <c r="AT18" i="11"/>
  <c r="AS18" i="11"/>
  <c r="AP18" i="11"/>
  <c r="AM18" i="11"/>
  <c r="AL18" i="11"/>
  <c r="AJ18" i="11"/>
  <c r="AF18" i="11"/>
  <c r="AC18" i="11"/>
  <c r="R18" i="11"/>
  <c r="Q18" i="11"/>
  <c r="P18" i="11"/>
  <c r="J18" i="11"/>
  <c r="H18" i="11"/>
  <c r="E18" i="11"/>
  <c r="AX17" i="11"/>
  <c r="AW17" i="11"/>
  <c r="AV17" i="11"/>
  <c r="AU17" i="11"/>
  <c r="AT17" i="11"/>
  <c r="AS17" i="11"/>
  <c r="AP17" i="11"/>
  <c r="AM17" i="11"/>
  <c r="AL17" i="11"/>
  <c r="AJ17" i="11"/>
  <c r="AH17" i="11"/>
  <c r="AG17" i="11"/>
  <c r="AF17" i="11"/>
  <c r="AC17" i="11"/>
  <c r="R17" i="11"/>
  <c r="Q17" i="11"/>
  <c r="P17" i="11"/>
  <c r="J17" i="11"/>
  <c r="H17" i="11"/>
  <c r="AX16" i="11"/>
  <c r="AW16" i="11"/>
  <c r="AV16" i="11"/>
  <c r="AU16" i="11"/>
  <c r="AT16" i="11"/>
  <c r="AS16" i="11"/>
  <c r="AP16" i="11"/>
  <c r="AM16" i="11"/>
  <c r="AL16" i="11"/>
  <c r="AJ16" i="11"/>
  <c r="AH16" i="11"/>
  <c r="AG16" i="11"/>
  <c r="AF16" i="11"/>
  <c r="AC16" i="11"/>
  <c r="R16" i="11"/>
  <c r="Q16" i="11"/>
  <c r="P16" i="11"/>
  <c r="J16" i="11"/>
  <c r="H16" i="11"/>
  <c r="AX15" i="11"/>
  <c r="AW15" i="11"/>
  <c r="AV15" i="11"/>
  <c r="AU15" i="11"/>
  <c r="AT15" i="11"/>
  <c r="AS15" i="11"/>
  <c r="AP15" i="11"/>
  <c r="AM15" i="11"/>
  <c r="AL15" i="11"/>
  <c r="AJ15" i="11"/>
  <c r="AH15" i="11"/>
  <c r="AG15" i="11"/>
  <c r="AF15" i="11"/>
  <c r="AC15" i="11"/>
  <c r="R15" i="11"/>
  <c r="Q15" i="11"/>
  <c r="P15" i="11"/>
  <c r="J15" i="11"/>
  <c r="H15" i="11"/>
  <c r="AX14" i="11"/>
  <c r="AW14" i="11"/>
  <c r="AV14" i="11"/>
  <c r="AU14" i="11"/>
  <c r="AT14" i="11"/>
  <c r="AS14" i="11"/>
  <c r="AP14" i="11"/>
  <c r="AM14" i="11"/>
  <c r="AL14" i="11"/>
  <c r="AJ14" i="11"/>
  <c r="AH14" i="11"/>
  <c r="AG14" i="11"/>
  <c r="AF14" i="11"/>
  <c r="AC14" i="11"/>
  <c r="R14" i="11"/>
  <c r="Q14" i="11"/>
  <c r="P14" i="11"/>
  <c r="J14" i="11"/>
  <c r="H14" i="11"/>
  <c r="AX13" i="11"/>
  <c r="AW13" i="11"/>
  <c r="AV13" i="11"/>
  <c r="AU13" i="11"/>
  <c r="AT13" i="11"/>
  <c r="AS13" i="11"/>
  <c r="AP13" i="11"/>
  <c r="AM13" i="11"/>
  <c r="AL13" i="11"/>
  <c r="AJ13" i="11"/>
  <c r="AH13" i="11"/>
  <c r="AG13" i="11"/>
  <c r="AF13" i="11"/>
  <c r="AC13" i="11"/>
  <c r="R13" i="11"/>
  <c r="Q13" i="11"/>
  <c r="P13" i="11"/>
  <c r="J13" i="11"/>
  <c r="H13" i="11"/>
  <c r="O2" i="11"/>
  <c r="K1" i="11"/>
  <c r="I1" i="11"/>
  <c r="U61" i="20"/>
  <c r="T61" i="20"/>
  <c r="S61" i="20"/>
  <c r="R61" i="20"/>
  <c r="Q61" i="20"/>
  <c r="U60" i="20"/>
  <c r="T60" i="20"/>
  <c r="S60" i="20"/>
  <c r="R60" i="20"/>
  <c r="Q60" i="20"/>
  <c r="U59" i="20"/>
  <c r="T59" i="20"/>
  <c r="S59" i="20"/>
  <c r="R59" i="20"/>
  <c r="Q59" i="20"/>
  <c r="U58" i="20"/>
  <c r="T58" i="20"/>
  <c r="S58" i="20"/>
  <c r="R58" i="20"/>
  <c r="Q58" i="20"/>
  <c r="U57" i="20"/>
  <c r="T57" i="20"/>
  <c r="S57" i="20"/>
  <c r="R57" i="20"/>
  <c r="Q57" i="20"/>
  <c r="U56" i="20"/>
  <c r="T56" i="20"/>
  <c r="S56" i="20"/>
  <c r="R56" i="20"/>
  <c r="Q56" i="20"/>
  <c r="U55" i="20"/>
  <c r="T55" i="20"/>
  <c r="S55" i="20"/>
  <c r="R55" i="20"/>
  <c r="Q55" i="20"/>
  <c r="U54" i="20"/>
  <c r="T54" i="20"/>
  <c r="S54" i="20"/>
  <c r="R54" i="20"/>
  <c r="Q54" i="20"/>
  <c r="U53" i="20"/>
  <c r="T53" i="20"/>
  <c r="S53" i="20"/>
  <c r="R53" i="20"/>
  <c r="Q53" i="20"/>
  <c r="U52" i="20"/>
  <c r="T52" i="20"/>
  <c r="S52" i="20"/>
  <c r="R52" i="20"/>
  <c r="Q52" i="20"/>
  <c r="C52" i="20"/>
  <c r="U51" i="20"/>
  <c r="T51" i="20"/>
  <c r="S51" i="20"/>
  <c r="R51" i="20"/>
  <c r="Q51" i="20"/>
  <c r="C51" i="20"/>
  <c r="U50" i="20"/>
  <c r="T50" i="20"/>
  <c r="S50" i="20"/>
  <c r="R50" i="20"/>
  <c r="Q50" i="20"/>
  <c r="C50" i="20"/>
  <c r="U49" i="20"/>
  <c r="T49" i="20"/>
  <c r="S49" i="20"/>
  <c r="R49" i="20"/>
  <c r="Q49" i="20"/>
  <c r="C49" i="20"/>
  <c r="U48" i="20"/>
  <c r="T48" i="20"/>
  <c r="S48" i="20"/>
  <c r="R48" i="20"/>
  <c r="Q48" i="20"/>
  <c r="C48" i="20"/>
  <c r="U47" i="20"/>
  <c r="T47" i="20"/>
  <c r="S47" i="20"/>
  <c r="R47" i="20"/>
  <c r="Q47" i="20"/>
  <c r="U46" i="20"/>
  <c r="T46" i="20"/>
  <c r="S46" i="20"/>
  <c r="R46" i="20"/>
  <c r="Q46" i="20"/>
  <c r="U45" i="20"/>
  <c r="T45" i="20"/>
  <c r="S45" i="20"/>
  <c r="R45" i="20"/>
  <c r="Q45" i="20"/>
  <c r="U44" i="20"/>
  <c r="T44" i="20"/>
  <c r="S44" i="20"/>
  <c r="R44" i="20"/>
  <c r="Q44" i="20"/>
  <c r="U43" i="20"/>
  <c r="T43" i="20"/>
  <c r="S43" i="20"/>
  <c r="R43" i="20"/>
  <c r="Q43" i="20"/>
  <c r="U42" i="20"/>
  <c r="T42" i="20"/>
  <c r="S42" i="20"/>
  <c r="R42" i="20"/>
  <c r="Q42" i="20"/>
  <c r="U41" i="20"/>
  <c r="T41" i="20"/>
  <c r="S41" i="20"/>
  <c r="R41" i="20"/>
  <c r="Q41" i="20"/>
  <c r="U40" i="20"/>
  <c r="T40" i="20"/>
  <c r="S40" i="20"/>
  <c r="R40" i="20"/>
  <c r="Q40" i="20"/>
  <c r="U39" i="20"/>
  <c r="T39" i="20"/>
  <c r="S39" i="20"/>
  <c r="R39" i="20"/>
  <c r="Q39" i="20"/>
  <c r="U38" i="20"/>
  <c r="T38" i="20"/>
  <c r="S38" i="20"/>
  <c r="R38" i="20"/>
  <c r="Q38" i="20"/>
  <c r="U37" i="20"/>
  <c r="T37" i="20"/>
  <c r="S37" i="20"/>
  <c r="R37" i="20"/>
  <c r="Q37" i="20"/>
  <c r="U36" i="20"/>
  <c r="T36" i="20"/>
  <c r="S36" i="20"/>
  <c r="R36" i="20"/>
  <c r="Q36" i="20"/>
  <c r="U35" i="20"/>
  <c r="T35" i="20"/>
  <c r="S35" i="20"/>
  <c r="R35" i="20"/>
  <c r="Q35" i="20"/>
  <c r="U34" i="20"/>
  <c r="T34" i="20"/>
  <c r="S34" i="20"/>
  <c r="R34" i="20"/>
  <c r="Q34" i="20"/>
  <c r="U33" i="20"/>
  <c r="T33" i="20"/>
  <c r="S33" i="20"/>
  <c r="R33" i="20"/>
  <c r="Q33" i="20"/>
  <c r="U32" i="20"/>
  <c r="T32" i="20"/>
  <c r="S32" i="20"/>
  <c r="R32" i="20"/>
  <c r="Q32" i="20"/>
  <c r="U31" i="20"/>
  <c r="T31" i="20"/>
  <c r="S31" i="20"/>
  <c r="R31" i="20"/>
  <c r="Q31" i="20"/>
  <c r="U30" i="20"/>
  <c r="T30" i="20"/>
  <c r="S30" i="20"/>
  <c r="R30" i="20"/>
  <c r="Q30" i="20"/>
  <c r="U29" i="20"/>
  <c r="T29" i="20"/>
  <c r="S29" i="20"/>
  <c r="R29" i="20"/>
  <c r="Q29" i="20"/>
  <c r="U28" i="20"/>
  <c r="T28" i="20"/>
  <c r="S28" i="20"/>
  <c r="R28" i="20"/>
  <c r="Q28" i="20"/>
  <c r="U27" i="20"/>
  <c r="T27" i="20"/>
  <c r="S27" i="20"/>
  <c r="R27" i="20"/>
  <c r="Q27" i="20"/>
  <c r="U26" i="20"/>
  <c r="T26" i="20"/>
  <c r="S26" i="20"/>
  <c r="R26" i="20"/>
  <c r="Q26" i="20"/>
  <c r="U25" i="20"/>
  <c r="T25" i="20"/>
  <c r="S25" i="20"/>
  <c r="R25" i="20"/>
  <c r="Q25" i="20"/>
  <c r="U24" i="20"/>
  <c r="T24" i="20"/>
  <c r="S24" i="20"/>
  <c r="R24" i="20"/>
  <c r="Q24" i="20"/>
  <c r="U23" i="20"/>
  <c r="T23" i="20"/>
  <c r="S23" i="20"/>
  <c r="R23" i="20"/>
  <c r="Q23" i="20"/>
  <c r="U22" i="20"/>
  <c r="T22" i="20"/>
  <c r="S22" i="20"/>
  <c r="R22" i="20"/>
  <c r="Q22" i="20"/>
  <c r="U21" i="20"/>
  <c r="T21" i="20"/>
  <c r="S21" i="20"/>
  <c r="R21" i="20"/>
  <c r="Q21" i="20"/>
  <c r="U20" i="20"/>
  <c r="T20" i="20"/>
  <c r="S20" i="20"/>
  <c r="R20" i="20"/>
  <c r="Q20" i="20"/>
  <c r="U19" i="20"/>
  <c r="T19" i="20"/>
  <c r="S19" i="20"/>
  <c r="R19" i="20"/>
  <c r="Q19" i="20"/>
  <c r="U18" i="20"/>
  <c r="T18" i="20"/>
  <c r="S18" i="20"/>
  <c r="R18" i="20"/>
  <c r="Q18" i="20"/>
  <c r="U17" i="20"/>
  <c r="T17" i="20"/>
  <c r="S17" i="20"/>
  <c r="R17" i="20"/>
  <c r="Q17" i="20"/>
  <c r="U16" i="20"/>
  <c r="T16" i="20"/>
  <c r="S16" i="20"/>
  <c r="R16" i="20"/>
  <c r="Q16" i="20"/>
  <c r="U15" i="20"/>
  <c r="T15" i="20"/>
  <c r="S15" i="20"/>
  <c r="R15" i="20"/>
  <c r="Q15" i="20"/>
  <c r="U14" i="20"/>
  <c r="T14" i="20"/>
  <c r="S14" i="20"/>
  <c r="R14" i="20"/>
  <c r="Q14" i="20"/>
  <c r="U13" i="20"/>
  <c r="T13" i="20"/>
  <c r="S13" i="20"/>
  <c r="R13" i="20"/>
  <c r="Q13" i="20"/>
  <c r="U12" i="20"/>
  <c r="T12" i="20"/>
  <c r="S12" i="20"/>
  <c r="R12" i="20"/>
  <c r="Q12" i="20"/>
  <c r="U11" i="20"/>
  <c r="T11" i="20"/>
  <c r="S11" i="20"/>
  <c r="R11" i="20"/>
  <c r="Q11" i="20"/>
  <c r="U10" i="20"/>
  <c r="T10" i="20"/>
  <c r="S10" i="20"/>
  <c r="R10" i="20"/>
  <c r="Q10" i="20"/>
  <c r="U9" i="20"/>
  <c r="T9" i="20"/>
  <c r="S9" i="20"/>
  <c r="R9" i="20"/>
  <c r="Q9" i="20"/>
  <c r="U8" i="20"/>
  <c r="T8" i="20"/>
  <c r="S8" i="20"/>
  <c r="R8" i="20"/>
  <c r="Q8" i="20"/>
  <c r="U7" i="20"/>
  <c r="T7" i="20"/>
  <c r="S7" i="20"/>
  <c r="R7" i="20"/>
  <c r="Q7" i="20"/>
  <c r="AJ82" i="33"/>
  <c r="AO81" i="33"/>
  <c r="AN81" i="33" a="1"/>
  <c r="AN81" i="33"/>
  <c r="AJ81" i="33"/>
  <c r="AJ79" i="33"/>
  <c r="AJ78" i="33"/>
  <c r="AJ77" i="33"/>
  <c r="AJ76" i="33"/>
  <c r="AO75" i="33"/>
  <c r="AN75" i="33" a="1"/>
  <c r="AN75" i="33"/>
  <c r="AJ75" i="33"/>
  <c r="AJ73" i="33"/>
  <c r="AJ72" i="33"/>
  <c r="AJ71" i="33"/>
  <c r="AO70" i="33"/>
  <c r="AN70" i="33" a="1"/>
  <c r="AN70" i="33"/>
  <c r="AJ70" i="33"/>
  <c r="AJ68" i="33"/>
  <c r="AJ67" i="33"/>
  <c r="AJ66" i="33"/>
  <c r="AJ65" i="33"/>
  <c r="AO64" i="33"/>
  <c r="AJ64" i="33"/>
  <c r="AR63" i="33" a="1"/>
  <c r="AR63" i="33"/>
  <c r="AO63" i="33"/>
  <c r="AN63" i="33" a="1"/>
  <c r="AN63" i="33"/>
  <c r="AJ63" i="33"/>
  <c r="AR62" i="33" a="1"/>
  <c r="AR62" i="33"/>
  <c r="AO62" i="33" a="1"/>
  <c r="AO62" i="33"/>
  <c r="AN62" i="33" a="1"/>
  <c r="AN62" i="33"/>
  <c r="AJ62" i="33"/>
  <c r="AJ60" i="33"/>
  <c r="AJ59" i="33"/>
  <c r="AJ58" i="33"/>
  <c r="AJ57" i="33"/>
  <c r="AJ56" i="33"/>
  <c r="AJ55" i="33"/>
  <c r="AJ54" i="33"/>
  <c r="AU53" i="33"/>
  <c r="AU52" i="33"/>
  <c r="AJ52" i="33"/>
  <c r="AU51" i="33"/>
  <c r="AJ51" i="33"/>
  <c r="AU50" i="33"/>
  <c r="AJ50" i="33"/>
  <c r="AU49" i="33"/>
  <c r="AJ49" i="33"/>
  <c r="AU48" i="33"/>
  <c r="AO48" i="33"/>
  <c r="AJ48" i="33"/>
  <c r="AU47" i="33"/>
  <c r="AO47" i="33" a="1"/>
  <c r="AO47" i="33"/>
  <c r="AJ47" i="33"/>
  <c r="AU46" i="33"/>
  <c r="AO46" i="33"/>
  <c r="AJ46" i="33"/>
  <c r="AU45" i="33"/>
  <c r="AO45" i="33" a="1"/>
  <c r="AO45" i="33"/>
  <c r="AU44" i="33"/>
  <c r="AR44" i="33" a="1"/>
  <c r="AR44" i="33"/>
  <c r="AJ44" i="33"/>
  <c r="AU43" i="33"/>
  <c r="AR43" i="33" a="1"/>
  <c r="AR43" i="33"/>
  <c r="AP43" i="33"/>
  <c r="AO43" i="33"/>
  <c r="AN43" i="33" a="1"/>
  <c r="AN43" i="33"/>
  <c r="AJ43" i="33"/>
  <c r="AU42" i="33"/>
  <c r="AP42" i="33"/>
  <c r="AO42" i="33" a="1"/>
  <c r="AO42" i="33"/>
  <c r="AN42" i="33" a="1"/>
  <c r="AN42" i="33"/>
  <c r="AJ42" i="33"/>
  <c r="AX38" i="33"/>
  <c r="AW38" i="33"/>
  <c r="AV38" i="33"/>
  <c r="AU38" i="33"/>
  <c r="AT38" i="33"/>
  <c r="AS38" i="33"/>
  <c r="AQ38" i="33"/>
  <c r="AP38" i="33"/>
  <c r="AJ38" i="33"/>
  <c r="AI38" i="33"/>
  <c r="AH38" i="33"/>
  <c r="AF38" i="33"/>
  <c r="AE38" i="33"/>
  <c r="AC38" i="33"/>
  <c r="Q38" i="33"/>
  <c r="P38" i="33"/>
  <c r="O38" i="33"/>
  <c r="BA29" i="33"/>
  <c r="AX29" i="33"/>
  <c r="AW29" i="33"/>
  <c r="AU29" i="33"/>
  <c r="AT29" i="33"/>
  <c r="AS29" i="33"/>
  <c r="AQ29" i="33"/>
  <c r="AP29" i="33"/>
  <c r="AK29" i="33"/>
  <c r="AJ29" i="33"/>
  <c r="AH29" i="33"/>
  <c r="AG29" i="33"/>
  <c r="AF29" i="33"/>
  <c r="AE29" i="33"/>
  <c r="AC29" i="33"/>
  <c r="Q29" i="33"/>
  <c r="P29" i="33"/>
  <c r="O29" i="33"/>
  <c r="AX19" i="33"/>
  <c r="AW19" i="33"/>
  <c r="AV19" i="33"/>
  <c r="AU19" i="33"/>
  <c r="AT19" i="33"/>
  <c r="AS19" i="33"/>
  <c r="AP19" i="33"/>
  <c r="AM19" i="33"/>
  <c r="AL19" i="33"/>
  <c r="AJ19" i="33"/>
  <c r="AF19" i="33"/>
  <c r="AC19" i="33"/>
  <c r="R19" i="33"/>
  <c r="Q19" i="33"/>
  <c r="P19" i="33"/>
  <c r="J19" i="33"/>
  <c r="H19" i="33"/>
  <c r="E19" i="33"/>
  <c r="AX18" i="33"/>
  <c r="AW18" i="33"/>
  <c r="AV18" i="33"/>
  <c r="AU18" i="33"/>
  <c r="AT18" i="33"/>
  <c r="AP18" i="33"/>
  <c r="AM18" i="33"/>
  <c r="AL18" i="33"/>
  <c r="AJ18" i="33"/>
  <c r="AF18" i="33"/>
  <c r="AC18" i="33"/>
  <c r="R18" i="33"/>
  <c r="Q18" i="33"/>
  <c r="P18" i="33"/>
  <c r="J18" i="33"/>
  <c r="H18" i="33"/>
  <c r="E18" i="33"/>
  <c r="AX17" i="33"/>
  <c r="AW17" i="33"/>
  <c r="AV17" i="33"/>
  <c r="AU17" i="33"/>
  <c r="AT17" i="33"/>
  <c r="AS17" i="33"/>
  <c r="AP17" i="33"/>
  <c r="AM17" i="33"/>
  <c r="AL17" i="33"/>
  <c r="AJ17" i="33"/>
  <c r="AH17" i="33"/>
  <c r="AG17" i="33"/>
  <c r="AF17" i="33"/>
  <c r="AC17" i="33"/>
  <c r="R17" i="33"/>
  <c r="Q17" i="33"/>
  <c r="P17" i="33"/>
  <c r="J17" i="33"/>
  <c r="H17" i="33"/>
  <c r="AX16" i="33"/>
  <c r="AW16" i="33"/>
  <c r="AV16" i="33"/>
  <c r="AU16" i="33"/>
  <c r="AT16" i="33"/>
  <c r="AS16" i="33"/>
  <c r="AP16" i="33"/>
  <c r="AM16" i="33"/>
  <c r="AL16" i="33"/>
  <c r="AJ16" i="33"/>
  <c r="AH16" i="33"/>
  <c r="AG16" i="33"/>
  <c r="AF16" i="33"/>
  <c r="AC16" i="33"/>
  <c r="R16" i="33"/>
  <c r="Q16" i="33"/>
  <c r="P16" i="33"/>
  <c r="J16" i="33"/>
  <c r="H16" i="33"/>
  <c r="AX15" i="33"/>
  <c r="AW15" i="33"/>
  <c r="AV15" i="33"/>
  <c r="AU15" i="33"/>
  <c r="AT15" i="33"/>
  <c r="AS15" i="33"/>
  <c r="AP15" i="33"/>
  <c r="AM15" i="33"/>
  <c r="AL15" i="33"/>
  <c r="AJ15" i="33"/>
  <c r="AH15" i="33"/>
  <c r="AG15" i="33"/>
  <c r="AF15" i="33"/>
  <c r="AC15" i="33"/>
  <c r="R15" i="33"/>
  <c r="Q15" i="33"/>
  <c r="P15" i="33"/>
  <c r="J15" i="33"/>
  <c r="H15" i="33"/>
  <c r="AX14" i="33"/>
  <c r="AW14" i="33"/>
  <c r="AV14" i="33"/>
  <c r="AU14" i="33"/>
  <c r="AT14" i="33"/>
  <c r="AS14" i="33"/>
  <c r="AP14" i="33"/>
  <c r="AM14" i="33"/>
  <c r="AL14" i="33"/>
  <c r="AJ14" i="33"/>
  <c r="AH14" i="33"/>
  <c r="AG14" i="33"/>
  <c r="AF14" i="33"/>
  <c r="AC14" i="33"/>
  <c r="R14" i="33"/>
  <c r="Q14" i="33"/>
  <c r="P14" i="33"/>
  <c r="J14" i="33"/>
  <c r="H14" i="33"/>
  <c r="AX13" i="33"/>
  <c r="AW13" i="33"/>
  <c r="AV13" i="33"/>
  <c r="AU13" i="33"/>
  <c r="AT13" i="33"/>
  <c r="AS13" i="33"/>
  <c r="AP13" i="33"/>
  <c r="AM13" i="33"/>
  <c r="AL13" i="33"/>
  <c r="AJ13" i="33"/>
  <c r="AH13" i="33"/>
  <c r="AG13" i="33"/>
  <c r="AF13" i="33"/>
  <c r="AC13" i="33"/>
  <c r="R13" i="33"/>
  <c r="Q13" i="33"/>
  <c r="P13" i="33"/>
  <c r="J13" i="33"/>
  <c r="H13" i="33"/>
  <c r="O2" i="33"/>
  <c r="K1" i="33"/>
  <c r="I1" i="33"/>
  <c r="AI21" i="3"/>
  <c r="E21" i="3"/>
  <c r="C21" i="3"/>
  <c r="AI19"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<sst xmlns="http://schemas.openxmlformats.org/spreadsheetml/2006/main" count="7704" uniqueCount="4300">
  <si>
    <t>地域の区分</t>
    <rPh sb="0" eb="2">
      <t>チイキ</t>
    </rPh>
    <rPh sb="3" eb="5">
      <t>クブン</t>
    </rPh>
    <phoneticPr fontId="12"/>
  </si>
  <si>
    <t>地域</t>
    <rPh sb="0" eb="2">
      <t>チイキ</t>
    </rPh>
    <phoneticPr fontId="12"/>
  </si>
  <si>
    <t>部位</t>
    <rPh sb="0" eb="2">
      <t>ブイ</t>
    </rPh>
    <phoneticPr fontId="12"/>
  </si>
  <si>
    <t>厚さ</t>
    <rPh sb="0" eb="1">
      <t>アツ</t>
    </rPh>
    <phoneticPr fontId="12"/>
  </si>
  <si>
    <t>適否確認</t>
    <rPh sb="0" eb="4">
      <t>テキヒカクニン</t>
    </rPh>
    <phoneticPr fontId="12"/>
  </si>
  <si>
    <t>屋根</t>
    <rPh sb="0" eb="2">
      <t>ヤネ</t>
    </rPh>
    <phoneticPr fontId="12"/>
  </si>
  <si>
    <t>天井</t>
    <rPh sb="0" eb="2">
      <t>テンジョウ</t>
    </rPh>
    <phoneticPr fontId="12"/>
  </si>
  <si>
    <t>壁</t>
    <rPh sb="0" eb="1">
      <t>カベ</t>
    </rPh>
    <phoneticPr fontId="12"/>
  </si>
  <si>
    <t>床
外気に接する部分</t>
    <rPh sb="0" eb="1">
      <t>ユカ</t>
    </rPh>
    <phoneticPr fontId="12"/>
  </si>
  <si>
    <t>床
その他の部分</t>
    <rPh sb="0" eb="1">
      <t>ユカ</t>
    </rPh>
    <phoneticPr fontId="12"/>
  </si>
  <si>
    <t>日射遮蔽対策</t>
    <rPh sb="0" eb="2">
      <t>ニッシャ</t>
    </rPh>
    <rPh sb="2" eb="4">
      <t>シャヘイ</t>
    </rPh>
    <rPh sb="4" eb="6">
      <t>タイサク</t>
    </rPh>
    <phoneticPr fontId="12"/>
  </si>
  <si>
    <t>年</t>
    <rPh sb="0" eb="1">
      <t>ネン</t>
    </rPh>
    <phoneticPr fontId="12"/>
  </si>
  <si>
    <t>月</t>
    <rPh sb="0" eb="1">
      <t>ガツ</t>
    </rPh>
    <phoneticPr fontId="12"/>
  </si>
  <si>
    <t>日</t>
    <rPh sb="0" eb="1">
      <t>ニチ</t>
    </rPh>
    <phoneticPr fontId="12"/>
  </si>
  <si>
    <t>物件名：</t>
    <rPh sb="0" eb="3">
      <t>ブッケンメイ</t>
    </rPh>
    <phoneticPr fontId="12"/>
  </si>
  <si>
    <t>都道府県：</t>
    <rPh sb="0" eb="4">
      <t>トドウフケン</t>
    </rPh>
    <phoneticPr fontId="12"/>
  </si>
  <si>
    <t>市町村：</t>
    <rPh sb="0" eb="3">
      <t>シチョウソン</t>
    </rPh>
    <phoneticPr fontId="12"/>
  </si>
  <si>
    <t>建設地：</t>
    <rPh sb="0" eb="3">
      <t>ケンセツチ</t>
    </rPh>
    <phoneticPr fontId="12"/>
  </si>
  <si>
    <t>窓</t>
    <rPh sb="0" eb="1">
      <t>マド</t>
    </rPh>
    <phoneticPr fontId="12"/>
  </si>
  <si>
    <t>ドア</t>
    <phoneticPr fontId="12"/>
  </si>
  <si>
    <t>断熱工法</t>
    <rPh sb="0" eb="4">
      <t>ダンネツコウホウ</t>
    </rPh>
    <phoneticPr fontId="12"/>
  </si>
  <si>
    <t>パネルラジエーターで以下のいずれかを熱源とし、かつ配管に断熱被覆があるもの</t>
    <phoneticPr fontId="12"/>
  </si>
  <si>
    <t>ダクト式セントラル空調機で、ヒートポンプを熱源とするもの</t>
    <phoneticPr fontId="12"/>
  </si>
  <si>
    <t>③ 電気ヒートポンプ温水暖房機 （フロン系冷媒に限る）</t>
    <phoneticPr fontId="12"/>
  </si>
  <si>
    <t>　①～③のいずれかを選択</t>
    <phoneticPr fontId="12"/>
  </si>
  <si>
    <t>換気設備</t>
    <rPh sb="0" eb="4">
      <t>カンキセツビ</t>
    </rPh>
    <phoneticPr fontId="12"/>
  </si>
  <si>
    <t>ダクト式第一種換気設備（熱交換なし）で、 ダクト内径が75ｍｍ以上で、 かつDC モーター（直流）のもの</t>
    <phoneticPr fontId="12"/>
  </si>
  <si>
    <t>右記のいずれかを選択</t>
    <phoneticPr fontId="12"/>
  </si>
  <si>
    <t>給湯設備</t>
    <rPh sb="0" eb="2">
      <t>キュウトウ</t>
    </rPh>
    <rPh sb="2" eb="4">
      <t>セツビ</t>
    </rPh>
    <phoneticPr fontId="12"/>
  </si>
  <si>
    <r>
      <t>U</t>
    </r>
    <r>
      <rPr>
        <b/>
        <sz val="9"/>
        <color theme="0"/>
        <rFont val="BIZ UDPゴシック"/>
        <family val="3"/>
        <charset val="128"/>
      </rPr>
      <t>［W/(㎡・K)］</t>
    </r>
    <phoneticPr fontId="12"/>
  </si>
  <si>
    <r>
      <t>η</t>
    </r>
    <r>
      <rPr>
        <b/>
        <sz val="9"/>
        <color theme="0"/>
        <rFont val="BIZ UDPゴシック"/>
        <family val="3"/>
        <charset val="128"/>
      </rPr>
      <t>［―］</t>
    </r>
    <phoneticPr fontId="12"/>
  </si>
  <si>
    <t>会社名：</t>
    <rPh sb="0" eb="3">
      <t>カイシャメイ</t>
    </rPh>
    <phoneticPr fontId="12"/>
  </si>
  <si>
    <t>熱伝導率</t>
    <rPh sb="0" eb="4">
      <t>ネツデンドウリツ</t>
    </rPh>
    <phoneticPr fontId="12"/>
  </si>
  <si>
    <t>断熱部位の</t>
    <rPh sb="0" eb="2">
      <t>ダンネツ</t>
    </rPh>
    <rPh sb="2" eb="4">
      <t>ブイ</t>
    </rPh>
    <phoneticPr fontId="12"/>
  </si>
  <si>
    <t>該当窓の有無</t>
    <rPh sb="0" eb="2">
      <t>ガイトウ</t>
    </rPh>
    <rPh sb="2" eb="3">
      <t>マド</t>
    </rPh>
    <rPh sb="4" eb="6">
      <t>ウム</t>
    </rPh>
    <phoneticPr fontId="12"/>
  </si>
  <si>
    <t>断熱材の種類</t>
    <rPh sb="0" eb="3">
      <t>ダンネツザイ</t>
    </rPh>
    <rPh sb="4" eb="6">
      <t>シュルイ</t>
    </rPh>
    <phoneticPr fontId="12"/>
  </si>
  <si>
    <t>① 石油潜熱回収型温水暖房機 【エコフィール】 の熱効率87.8% 以上のもの</t>
    <phoneticPr fontId="12"/>
  </si>
  <si>
    <t>② ガス潜熱回収型温水暖房機 【エコジョーズ】 の熱効率82.5% 以上のもの</t>
    <phoneticPr fontId="12"/>
  </si>
  <si>
    <t>電気ヒートポンプ給湯機【エコキュート】</t>
    <phoneticPr fontId="12"/>
  </si>
  <si>
    <t>建築物省エネ法第10条に基づく省エネ基準適合義務に関する事項</t>
    <rPh sb="0" eb="3">
      <t>ケンチクブツ</t>
    </rPh>
    <rPh sb="3" eb="4">
      <t>ショウ</t>
    </rPh>
    <rPh sb="6" eb="7">
      <t>ホウ</t>
    </rPh>
    <rPh sb="7" eb="8">
      <t>ダイ</t>
    </rPh>
    <rPh sb="10" eb="11">
      <t>ジョウ</t>
    </rPh>
    <rPh sb="12" eb="13">
      <t>モト</t>
    </rPh>
    <rPh sb="15" eb="16">
      <t>ショウ</t>
    </rPh>
    <rPh sb="18" eb="20">
      <t>キジュン</t>
    </rPh>
    <rPh sb="20" eb="22">
      <t>テキゴウ</t>
    </rPh>
    <rPh sb="22" eb="24">
      <t>ギム</t>
    </rPh>
    <rPh sb="25" eb="26">
      <t>カン</t>
    </rPh>
    <rPh sb="28" eb="30">
      <t>ジコウ</t>
    </rPh>
    <phoneticPr fontId="26"/>
  </si>
  <si>
    <t>屋根</t>
    <rPh sb="0" eb="2">
      <t>ヤネ</t>
    </rPh>
    <phoneticPr fontId="26"/>
  </si>
  <si>
    <t>天井</t>
    <rPh sb="0" eb="2">
      <t>テンジョウ</t>
    </rPh>
    <phoneticPr fontId="26"/>
  </si>
  <si>
    <t>床</t>
    <rPh sb="0" eb="1">
      <t>ユカ</t>
    </rPh>
    <phoneticPr fontId="26"/>
  </si>
  <si>
    <t>その他の部分</t>
    <rPh sb="2" eb="3">
      <t>タ</t>
    </rPh>
    <rPh sb="4" eb="6">
      <t>ブブン</t>
    </rPh>
    <phoneticPr fontId="26"/>
  </si>
  <si>
    <t>暖房設備</t>
    <rPh sb="0" eb="2">
      <t>ダンボウ</t>
    </rPh>
    <rPh sb="2" eb="4">
      <t>セツビ</t>
    </rPh>
    <phoneticPr fontId="26"/>
  </si>
  <si>
    <t>暖房方式</t>
    <rPh sb="0" eb="4">
      <t>ダンボウホウシキ</t>
    </rPh>
    <phoneticPr fontId="26"/>
  </si>
  <si>
    <t>冷房設備</t>
    <rPh sb="0" eb="2">
      <t>レイボウ</t>
    </rPh>
    <rPh sb="2" eb="4">
      <t>セツビ</t>
    </rPh>
    <phoneticPr fontId="26"/>
  </si>
  <si>
    <t>換気設備</t>
    <rPh sb="0" eb="4">
      <t>カンキセツビ</t>
    </rPh>
    <phoneticPr fontId="26"/>
  </si>
  <si>
    <t>換気方式等</t>
    <rPh sb="0" eb="4">
      <t>カンキホウシキ</t>
    </rPh>
    <rPh sb="4" eb="5">
      <t>トウ</t>
    </rPh>
    <phoneticPr fontId="26"/>
  </si>
  <si>
    <t>給湯設備</t>
    <rPh sb="0" eb="2">
      <t>キュウトウ</t>
    </rPh>
    <rPh sb="2" eb="4">
      <t>セツビ</t>
    </rPh>
    <phoneticPr fontId="26"/>
  </si>
  <si>
    <t>機器の種類、効率</t>
    <rPh sb="0" eb="2">
      <t>キキ</t>
    </rPh>
    <rPh sb="3" eb="5">
      <t>シュルイ</t>
    </rPh>
    <rPh sb="6" eb="8">
      <t>コウリツ</t>
    </rPh>
    <phoneticPr fontId="26"/>
  </si>
  <si>
    <t>照明設備の種類</t>
    <rPh sb="0" eb="4">
      <t>ショウメイセツビ</t>
    </rPh>
    <rPh sb="5" eb="7">
      <t>シュルイ</t>
    </rPh>
    <phoneticPr fontId="26"/>
  </si>
  <si>
    <t>作成者</t>
    <rPh sb="0" eb="3">
      <t>サクセイシャ</t>
    </rPh>
    <phoneticPr fontId="26"/>
  </si>
  <si>
    <t>断熱部位</t>
    <phoneticPr fontId="12"/>
  </si>
  <si>
    <t>断熱部位のチェック</t>
    <rPh sb="0" eb="2">
      <t>ダンネツ</t>
    </rPh>
    <rPh sb="2" eb="4">
      <t>ブイ</t>
    </rPh>
    <phoneticPr fontId="12"/>
  </si>
  <si>
    <t>土間床等の外周部分の
基礎壁
（外気に接する部分）</t>
    <phoneticPr fontId="12"/>
  </si>
  <si>
    <t>土間床等の外周部分の
基礎壁
（その他の部分）</t>
    <phoneticPr fontId="12"/>
  </si>
  <si>
    <t>軸組充填</t>
    <phoneticPr fontId="12"/>
  </si>
  <si>
    <t>枠組充填</t>
    <phoneticPr fontId="12"/>
  </si>
  <si>
    <t>外張</t>
    <phoneticPr fontId="12"/>
  </si>
  <si>
    <t>該当窓の有無</t>
    <phoneticPr fontId="12"/>
  </si>
  <si>
    <t>10-50</t>
  </si>
  <si>
    <t>GW10-50</t>
  </si>
  <si>
    <t>16-45</t>
  </si>
  <si>
    <t>GW16-45</t>
  </si>
  <si>
    <t>24-38</t>
  </si>
  <si>
    <t>GW24-38</t>
  </si>
  <si>
    <t>32-36</t>
  </si>
  <si>
    <t>GW32-36</t>
  </si>
  <si>
    <t>高性能品</t>
  </si>
  <si>
    <t>HG10-45</t>
  </si>
  <si>
    <t>GWHG10-45</t>
  </si>
  <si>
    <t>HG10-43</t>
  </si>
  <si>
    <t>GWHG10-43</t>
  </si>
  <si>
    <t>HG14-38</t>
  </si>
  <si>
    <t>GWHG14-38</t>
  </si>
  <si>
    <t>HG16-38</t>
  </si>
  <si>
    <t>GWHG16-38</t>
  </si>
  <si>
    <t>HG16-37</t>
  </si>
  <si>
    <t>GWHG16-37</t>
  </si>
  <si>
    <t>HG20-36</t>
  </si>
  <si>
    <t>GWHG20-36</t>
  </si>
  <si>
    <t>HG20-35</t>
  </si>
  <si>
    <t>GWHG20-35</t>
  </si>
  <si>
    <t>HG20-34</t>
  </si>
  <si>
    <t>GWHG20-34</t>
  </si>
  <si>
    <t>HG24-36</t>
  </si>
  <si>
    <t>GWHG24-36</t>
  </si>
  <si>
    <t>HG24-35</t>
  </si>
  <si>
    <t>GWHG24-35</t>
  </si>
  <si>
    <t>HG24-34</t>
  </si>
  <si>
    <t>GWHG24-34</t>
  </si>
  <si>
    <t>HG28-33</t>
  </si>
  <si>
    <t>GWHG28-33</t>
  </si>
  <si>
    <t>HG32-35</t>
  </si>
  <si>
    <t>GWHG32-35</t>
  </si>
  <si>
    <t>HG36-32</t>
  </si>
  <si>
    <t>GWHG36-32</t>
  </si>
  <si>
    <t>HG38-32</t>
  </si>
  <si>
    <t>GWHG38-32</t>
  </si>
  <si>
    <r>
      <rPr>
        <sz val="10"/>
        <color rgb="FF231F20"/>
        <rFont val="BIZ UDPゴシック"/>
        <family val="3"/>
        <charset val="128"/>
      </rPr>
      <t>通常品</t>
    </r>
  </si>
  <si>
    <t>種類</t>
    <phoneticPr fontId="35"/>
  </si>
  <si>
    <t>製品記号</t>
    <phoneticPr fontId="35"/>
  </si>
  <si>
    <t>［W（/ m・K）］</t>
    <phoneticPr fontId="35"/>
  </si>
  <si>
    <r>
      <t>熱伝導率</t>
    </r>
    <r>
      <rPr>
        <b/>
        <sz val="11"/>
        <color theme="0"/>
        <rFont val="Yu Gothic Light"/>
        <family val="3"/>
        <charset val="128"/>
      </rPr>
      <t xml:space="preserve">λ </t>
    </r>
    <r>
      <rPr>
        <b/>
        <sz val="11"/>
        <color theme="1"/>
        <rFont val="BIZ UDPゴシック"/>
        <family val="3"/>
        <charset val="128"/>
      </rPr>
      <t xml:space="preserve">                     </t>
    </r>
    <phoneticPr fontId="35"/>
  </si>
  <si>
    <t>備考</t>
    <phoneticPr fontId="35"/>
  </si>
  <si>
    <t>LD</t>
  </si>
  <si>
    <t>RWLD</t>
  </si>
  <si>
    <t>MA</t>
  </si>
  <si>
    <t>RWMA</t>
  </si>
  <si>
    <t>MB</t>
  </si>
  <si>
    <t>RWMB</t>
  </si>
  <si>
    <t>MC、HA</t>
  </si>
  <si>
    <t>RWMC、RWHA</t>
  </si>
  <si>
    <t>HB</t>
  </si>
  <si>
    <t>RWHB</t>
  </si>
  <si>
    <t>HC</t>
  </si>
  <si>
    <t>RWHC</t>
  </si>
  <si>
    <t>ロックウール断熱材</t>
    <phoneticPr fontId="35"/>
  </si>
  <si>
    <t>ファイバーマット</t>
  </si>
  <si>
    <t>IM</t>
  </si>
  <si>
    <t>ファイバーボード</t>
  </si>
  <si>
    <t>DIB、DIBP</t>
  </si>
  <si>
    <t xml:space="preserve">1号 </t>
  </si>
  <si>
    <t>EPS1</t>
  </si>
  <si>
    <t xml:space="preserve">2号 </t>
  </si>
  <si>
    <t>EPS2</t>
  </si>
  <si>
    <t xml:space="preserve">3号 </t>
  </si>
  <si>
    <t>EPS3</t>
  </si>
  <si>
    <t xml:space="preserve">4号 </t>
  </si>
  <si>
    <t>EPS4</t>
  </si>
  <si>
    <t>インシュレーション
ファイバー断熱材</t>
    <phoneticPr fontId="35"/>
  </si>
  <si>
    <t>グラスウール断熱材</t>
    <phoneticPr fontId="35"/>
  </si>
  <si>
    <t>ビーズ法ポリスチレンフォーム断熱材</t>
    <phoneticPr fontId="35"/>
  </si>
  <si>
    <t>1種</t>
  </si>
  <si>
    <t>b</t>
  </si>
  <si>
    <t>A</t>
  </si>
  <si>
    <t>XPS1bA</t>
  </si>
  <si>
    <t>C</t>
  </si>
  <si>
    <t>XPS1bC</t>
  </si>
  <si>
    <t>2種</t>
  </si>
  <si>
    <t>XPS2bA</t>
  </si>
  <si>
    <t>3種</t>
  </si>
  <si>
    <t>a</t>
  </si>
  <si>
    <t>XPS3aA</t>
  </si>
  <si>
    <t>XPS3aC</t>
  </si>
  <si>
    <t>D</t>
  </si>
  <si>
    <t>XPS3aD</t>
  </si>
  <si>
    <t>XPS3bA</t>
  </si>
  <si>
    <t>XPS3bC</t>
  </si>
  <si>
    <t>XPS3bD</t>
  </si>
  <si>
    <t>A Ⅰ、A Ⅱ</t>
  </si>
  <si>
    <t>XPS3bA Ⅰ、XPS3bA Ⅱ</t>
  </si>
  <si>
    <t>1号</t>
  </si>
  <si>
    <t>Ⅰ、Ⅱ</t>
  </si>
  <si>
    <t>PUF1.1 Ⅰ、PUF1.1 Ⅱ</t>
  </si>
  <si>
    <t>PUF2.1A Ⅰ、PUF2.1A Ⅱ</t>
  </si>
  <si>
    <t>2号</t>
  </si>
  <si>
    <t>PUF2.2A Ⅰ、PUF2.2A Ⅱ</t>
  </si>
  <si>
    <t>C Ⅰ、C Ⅱ</t>
  </si>
  <si>
    <t>PUF2.2C Ⅰ、PUF2.2C Ⅱ</t>
  </si>
  <si>
    <t>D Ⅰ、D Ⅱ</t>
  </si>
  <si>
    <t>PUF2.2D Ⅰ、PUF2.2D Ⅱ</t>
  </si>
  <si>
    <t>ＥⅠ、ＥⅡ</t>
  </si>
  <si>
    <t>PUF2.2E Ⅰ、PUF2.2E Ⅱ</t>
  </si>
  <si>
    <t>ＧⅠ、ＧⅡ</t>
  </si>
  <si>
    <t>PUF2.2G Ⅰ、PUF2.2G Ⅱ</t>
  </si>
  <si>
    <t>PUF3.1C Ⅰ、PUF3.1C Ⅱ</t>
  </si>
  <si>
    <t>PUF3.1D Ⅰ、PUF3.1D Ⅱ</t>
  </si>
  <si>
    <t>PUF3.2C Ⅰ、PUF3.2C Ⅱ</t>
  </si>
  <si>
    <t>PUF3.2D Ⅰ、PUF3.2D Ⅱ</t>
  </si>
  <si>
    <t>PE1.1</t>
  </si>
  <si>
    <t>PE1.2</t>
  </si>
  <si>
    <t>PE2</t>
  </si>
  <si>
    <t>PE3</t>
  </si>
  <si>
    <t>PF1.2C Ⅰ、PF1.2C Ⅱ</t>
  </si>
  <si>
    <t>PF1.2D Ⅰ、PF1.2D Ⅱ</t>
  </si>
  <si>
    <t>E Ⅰ、E Ⅱ</t>
  </si>
  <si>
    <t>PF1.2E Ⅰ、PF1.2E Ⅱ</t>
  </si>
  <si>
    <t>3号</t>
  </si>
  <si>
    <t>PF1.3C Ⅰ、PF1.3C Ⅱ</t>
  </si>
  <si>
    <t>PF1.3D Ⅰ、PF1.3D Ⅱ</t>
  </si>
  <si>
    <t>PF1.3E Ⅰ、PF1.3E Ⅱ</t>
  </si>
  <si>
    <t>スキン層なし</t>
  </si>
  <si>
    <t>スキン層付き</t>
  </si>
  <si>
    <t>外被材、面材、及びスキン層なし</t>
  </si>
  <si>
    <t>非透湿性面材付き</t>
  </si>
  <si>
    <t>透湿性面材、透湿性面材及び非透湿性面材付き</t>
  </si>
  <si>
    <t>押出法ポリスチレンフォーム断熱材</t>
    <phoneticPr fontId="35"/>
  </si>
  <si>
    <t>硬質ウレタンフォーム断熱材</t>
    <phoneticPr fontId="35"/>
  </si>
  <si>
    <t>ポリエチレンフォーム断熱材</t>
    <phoneticPr fontId="35"/>
  </si>
  <si>
    <t>フェノールフォーム断熱材</t>
    <phoneticPr fontId="35"/>
  </si>
  <si>
    <t xml:space="preserve"> JIS</t>
    <phoneticPr fontId="35"/>
  </si>
  <si>
    <t xml:space="preserve"> JIS A 9521_2022   建築用断熱材（抜粋）</t>
    <phoneticPr fontId="35"/>
  </si>
  <si>
    <t>Ａ種</t>
  </si>
  <si>
    <t>NF1</t>
  </si>
  <si>
    <t>1H</t>
  </si>
  <si>
    <t>NF1H</t>
  </si>
  <si>
    <t>NF2</t>
  </si>
  <si>
    <t>2H</t>
  </si>
  <si>
    <t>NF2H</t>
  </si>
  <si>
    <t>NF3</t>
  </si>
  <si>
    <t>吹付け硬質
ウレタンフォーム</t>
    <phoneticPr fontId="35"/>
  </si>
  <si>
    <t>JIS A 9526_2022　建築物断熱用吹付け硬質ウレタンフォーム（抜粋）</t>
    <phoneticPr fontId="35"/>
  </si>
  <si>
    <t>LFGW1052</t>
  </si>
  <si>
    <t>LFGW1352</t>
  </si>
  <si>
    <t>LFGW1852</t>
  </si>
  <si>
    <t>LFGW2040</t>
  </si>
  <si>
    <t>LFGW2238</t>
  </si>
  <si>
    <t>LFGW3240</t>
  </si>
  <si>
    <t>LFGW3238</t>
  </si>
  <si>
    <t>LFRW2547</t>
  </si>
  <si>
    <t>LFRW6038</t>
  </si>
  <si>
    <t>LFCF2540</t>
  </si>
  <si>
    <t>LFCF4040</t>
  </si>
  <si>
    <t>LFCF4540</t>
  </si>
  <si>
    <t>LFCF5040</t>
  </si>
  <si>
    <t>LFCF5540</t>
  </si>
  <si>
    <t>LFCF6040</t>
  </si>
  <si>
    <t>天井</t>
  </si>
  <si>
    <t>屋根・床・壁</t>
  </si>
  <si>
    <t>吹込み用グラスウール断熱材</t>
    <phoneticPr fontId="35"/>
  </si>
  <si>
    <t>吹込み用ロックウール断熱材</t>
    <phoneticPr fontId="35"/>
  </si>
  <si>
    <t>吹込み用セルローズファイバー断熱材</t>
    <phoneticPr fontId="35"/>
  </si>
  <si>
    <t>JIS A 9523_2023　吹込み用繊維質断熱材（抜粋）</t>
    <phoneticPr fontId="35"/>
  </si>
  <si>
    <t>入力方法</t>
    <rPh sb="0" eb="2">
      <t>ニュウリョク</t>
    </rPh>
    <rPh sb="2" eb="4">
      <t>ホウホウ</t>
    </rPh>
    <phoneticPr fontId="12"/>
  </si>
  <si>
    <r>
      <rPr>
        <b/>
        <sz val="12"/>
        <color theme="0"/>
        <rFont val="BIZ UDPゴシック"/>
        <family val="3"/>
        <charset val="128"/>
      </rPr>
      <t>R</t>
    </r>
    <r>
      <rPr>
        <b/>
        <sz val="11"/>
        <color theme="0"/>
        <rFont val="BIZ UDPゴシック"/>
        <family val="3"/>
        <charset val="128"/>
      </rPr>
      <t>［㎡・K / W］</t>
    </r>
    <phoneticPr fontId="12"/>
  </si>
  <si>
    <t>熱抵抗R</t>
    <rPh sb="0" eb="3">
      <t>ネツテイコウ</t>
    </rPh>
    <phoneticPr fontId="12"/>
  </si>
  <si>
    <t>熱抵抗R入力方法</t>
    <rPh sb="4" eb="6">
      <t>ニュウリョク</t>
    </rPh>
    <rPh sb="6" eb="8">
      <t>ホウホウ</t>
    </rPh>
    <phoneticPr fontId="12"/>
  </si>
  <si>
    <t>直接入力</t>
    <rPh sb="0" eb="2">
      <t>チョクセツ</t>
    </rPh>
    <rPh sb="2" eb="4">
      <t>ニュウリョク</t>
    </rPh>
    <phoneticPr fontId="12"/>
  </si>
  <si>
    <t>断熱材の種類から入力</t>
    <rPh sb="0" eb="3">
      <t>ダンネツザイ</t>
    </rPh>
    <rPh sb="4" eb="6">
      <t>シュルイ</t>
    </rPh>
    <rPh sb="8" eb="10">
      <t>ニュウリョク</t>
    </rPh>
    <phoneticPr fontId="12"/>
  </si>
  <si>
    <t>直接入力</t>
    <phoneticPr fontId="12"/>
  </si>
  <si>
    <t>備考</t>
    <rPh sb="0" eb="2">
      <t>ビコウ</t>
    </rPh>
    <phoneticPr fontId="12"/>
  </si>
  <si>
    <t>建具の仕様</t>
    <rPh sb="0" eb="2">
      <t>タテグ</t>
    </rPh>
    <rPh sb="3" eb="5">
      <t>シヨウ</t>
    </rPh>
    <phoneticPr fontId="12"/>
  </si>
  <si>
    <t xml:space="preserve"> ガラスの仕様</t>
    <rPh sb="5" eb="7">
      <t>シヨウ</t>
    </rPh>
    <phoneticPr fontId="12"/>
  </si>
  <si>
    <t>枠の仕様</t>
    <rPh sb="0" eb="1">
      <t>ワク</t>
    </rPh>
    <rPh sb="2" eb="4">
      <t>シヨウ</t>
    </rPh>
    <phoneticPr fontId="12"/>
  </si>
  <si>
    <t>戸の仕様</t>
    <rPh sb="0" eb="1">
      <t>ト</t>
    </rPh>
    <rPh sb="2" eb="4">
      <t>シヨウ</t>
    </rPh>
    <phoneticPr fontId="12"/>
  </si>
  <si>
    <t>住宅の省エネルギー基準と評価方法2024【戸建住宅版】　 6-029　6-030　6-031</t>
    <phoneticPr fontId="12"/>
  </si>
  <si>
    <t>名前の定義の注意点</t>
    <rPh sb="0" eb="2">
      <t>ナマエ</t>
    </rPh>
    <rPh sb="3" eb="5">
      <t>テイギ</t>
    </rPh>
    <rPh sb="6" eb="9">
      <t>チュウイテン</t>
    </rPh>
    <phoneticPr fontId="35"/>
  </si>
  <si>
    <t>・先頭は数字NG</t>
    <rPh sb="1" eb="3">
      <t>セントウ</t>
    </rPh>
    <rPh sb="4" eb="6">
      <t>スウジ</t>
    </rPh>
    <phoneticPr fontId="35"/>
  </si>
  <si>
    <t>・-、()の仕様はNG</t>
    <rPh sb="6" eb="8">
      <t>シヨウ</t>
    </rPh>
    <phoneticPr fontId="35"/>
  </si>
  <si>
    <t>【名前の管理】</t>
    <rPh sb="1" eb="3">
      <t>ナマエ</t>
    </rPh>
    <rPh sb="4" eb="6">
      <t>カンリ</t>
    </rPh>
    <phoneticPr fontId="35"/>
  </si>
  <si>
    <t>名前</t>
    <rPh sb="0" eb="2">
      <t>ナマエ</t>
    </rPh>
    <phoneticPr fontId="26"/>
  </si>
  <si>
    <t>値↓</t>
    <rPh sb="0" eb="1">
      <t>アタイ</t>
    </rPh>
    <phoneticPr fontId="26"/>
  </si>
  <si>
    <t>－</t>
    <phoneticPr fontId="35"/>
  </si>
  <si>
    <t>【プルダウン】</t>
    <phoneticPr fontId="35"/>
  </si>
  <si>
    <t>樹脂製建具又は木製建具</t>
    <phoneticPr fontId="35"/>
  </si>
  <si>
    <t>その他・金属製建具・金属製熱遮断構造建具等</t>
    <phoneticPr fontId="12"/>
  </si>
  <si>
    <t>建具の仕様</t>
    <phoneticPr fontId="35"/>
  </si>
  <si>
    <t>三層複層ガラス_一般</t>
    <rPh sb="8" eb="10">
      <t>イッパン</t>
    </rPh>
    <phoneticPr fontId="26"/>
  </si>
  <si>
    <t>単板ガラス</t>
    <phoneticPr fontId="26"/>
  </si>
  <si>
    <t>その他・金属製建具・金属製熱遮断構造建具等</t>
    <phoneticPr fontId="35"/>
  </si>
  <si>
    <t>三層複層ガラス_一般</t>
    <phoneticPr fontId="35"/>
  </si>
  <si>
    <t>複層ガラス_一般</t>
    <phoneticPr fontId="35"/>
  </si>
  <si>
    <t>樹脂_又は木_と金属の複合材料製建具</t>
    <rPh sb="0" eb="2">
      <t>ジュシ</t>
    </rPh>
    <rPh sb="3" eb="4">
      <t>マタ</t>
    </rPh>
    <rPh sb="5" eb="6">
      <t>キ</t>
    </rPh>
    <rPh sb="8" eb="10">
      <t>キンゾク</t>
    </rPh>
    <rPh sb="11" eb="13">
      <t>フクゴウ</t>
    </rPh>
    <rPh sb="13" eb="15">
      <t>ザイリョウ</t>
    </rPh>
    <rPh sb="15" eb="16">
      <t>セイ</t>
    </rPh>
    <rPh sb="16" eb="18">
      <t>タテグ</t>
    </rPh>
    <phoneticPr fontId="35"/>
  </si>
  <si>
    <t>樹脂_又は木_と金属の複合材料製建具</t>
    <phoneticPr fontId="35"/>
  </si>
  <si>
    <t>三層複層ガラス_Low_E２枚</t>
    <phoneticPr fontId="26"/>
  </si>
  <si>
    <t>三層複層ガラス_Low_E１枚</t>
    <phoneticPr fontId="26"/>
  </si>
  <si>
    <t>三層複層ガラス_Low_E２枚</t>
    <phoneticPr fontId="35"/>
  </si>
  <si>
    <t>三層複層ガラス_Low_E１枚</t>
    <phoneticPr fontId="35"/>
  </si>
  <si>
    <t>複層ガラス_Low_E</t>
    <phoneticPr fontId="35"/>
  </si>
  <si>
    <t>非表示</t>
    <rPh sb="0" eb="3">
      <t>ヒヒョウジ</t>
    </rPh>
    <phoneticPr fontId="12"/>
  </si>
  <si>
    <r>
      <rPr>
        <b/>
        <sz val="12"/>
        <color theme="0"/>
        <rFont val="Calibri"/>
        <family val="2"/>
        <charset val="161"/>
      </rPr>
      <t>λ</t>
    </r>
    <r>
      <rPr>
        <b/>
        <sz val="11"/>
        <color theme="0"/>
        <rFont val="BIZ UDPゴシック"/>
        <family val="3"/>
        <charset val="128"/>
      </rPr>
      <t>［</t>
    </r>
    <r>
      <rPr>
        <b/>
        <sz val="11"/>
        <color theme="0"/>
        <rFont val="Calibri"/>
        <family val="3"/>
      </rPr>
      <t>W</t>
    </r>
    <r>
      <rPr>
        <b/>
        <sz val="11"/>
        <color theme="0"/>
        <rFont val="BIZ UDPゴシック"/>
        <family val="3"/>
        <charset val="128"/>
      </rPr>
      <t>（</t>
    </r>
    <r>
      <rPr>
        <b/>
        <sz val="11"/>
        <color theme="0"/>
        <rFont val="Calibri"/>
        <family val="3"/>
      </rPr>
      <t>/ m</t>
    </r>
    <r>
      <rPr>
        <b/>
        <sz val="11"/>
        <color theme="0"/>
        <rFont val="BIZ UDPゴシック"/>
        <family val="3"/>
        <charset val="128"/>
      </rPr>
      <t>・</t>
    </r>
    <r>
      <rPr>
        <b/>
        <sz val="11"/>
        <color theme="0"/>
        <rFont val="Calibri"/>
        <family val="3"/>
      </rPr>
      <t>K</t>
    </r>
    <r>
      <rPr>
        <b/>
        <sz val="11"/>
        <color theme="0"/>
        <rFont val="BIZ UDPゴシック"/>
        <family val="3"/>
        <charset val="128"/>
      </rPr>
      <t>）］</t>
    </r>
    <phoneticPr fontId="12"/>
  </si>
  <si>
    <t>付属部材無し</t>
    <phoneticPr fontId="12"/>
  </si>
  <si>
    <t>開口部の熱貫流率</t>
    <phoneticPr fontId="12"/>
  </si>
  <si>
    <r>
      <rPr>
        <sz val="6.5"/>
        <color rgb="FF231F20"/>
        <rFont val="メイリオ"/>
        <family val="3"/>
      </rPr>
      <t xml:space="preserve">表中の用語の定義については、国立研究開発法人建築研究所が公表する「平成 28 年省エネルギー基準に準拠したエネルギー消費性能の評価に関する技術情報（住
</t>
    </r>
    <r>
      <rPr>
        <sz val="6.5"/>
        <color rgb="FF231F20"/>
        <rFont val="メイリオ"/>
        <family val="3"/>
      </rPr>
      <t xml:space="preserve">宅）」の「2. エネルギー消費性能の算定方法 2.1 算定方法 1. 概要と用語の定義」を参照（https://www.kenken.go.jp/becc /house.html）
</t>
    </r>
    <r>
      <rPr>
        <sz val="6.5"/>
        <color rgb="FF231F20"/>
        <rFont val="メイリオ"/>
        <family val="3"/>
      </rPr>
      <t xml:space="preserve">※ 1「ガス」とは、アルゴンガス又は熱伝導率がこれと同等以下のものをいいます。   ※ 2 国立研究開発法人建築研究所ホームページ内「平成 28 年省エネルギー基準に準拠したエネルギー消費性能の評価に関する技術情報」の熱貫流率及び線熱貫流率（ドア等の大部分がガラスで構成されない開口部）の熱貫流率の表及
</t>
    </r>
    <r>
      <rPr>
        <sz val="6.5"/>
        <color rgb="FF231F20"/>
        <rFont val="メイリオ"/>
        <family val="3"/>
      </rPr>
      <t>び風除室に面する場合の計算式によります。簡易計算の結果よりも安全側に丸めていますのでご注意ください。</t>
    </r>
  </si>
  <si>
    <r>
      <rPr>
        <sz val="11"/>
        <color rgb="FFFFFFFF"/>
        <rFont val="Meiryo UI"/>
        <family val="3"/>
        <charset val="128"/>
      </rPr>
      <t>建具の仕様</t>
    </r>
  </si>
  <si>
    <r>
      <rPr>
        <sz val="11"/>
        <color rgb="FFFFFFFF"/>
        <rFont val="Meiryo UI"/>
        <family val="3"/>
        <charset val="128"/>
      </rPr>
      <t>ガラスの仕様</t>
    </r>
  </si>
  <si>
    <r>
      <rPr>
        <sz val="11"/>
        <color rgb="FFFFFFFF"/>
        <rFont val="Meiryo UI"/>
        <family val="3"/>
        <charset val="128"/>
      </rPr>
      <t>ガスの封入</t>
    </r>
    <r>
      <rPr>
        <vertAlign val="superscript"/>
        <sz val="11"/>
        <color rgb="FFFFFFFF"/>
        <rFont val="Meiryo UI"/>
        <family val="3"/>
        <charset val="128"/>
      </rPr>
      <t>※1</t>
    </r>
    <r>
      <rPr>
        <sz val="11"/>
        <color rgb="FFFFFFFF"/>
        <rFont val="Meiryo UI"/>
        <family val="3"/>
        <charset val="128"/>
      </rPr>
      <t xml:space="preserve"> </t>
    </r>
  </si>
  <si>
    <r>
      <rPr>
        <sz val="11"/>
        <color rgb="FFFFFFFF"/>
        <rFont val="Meiryo UI"/>
        <family val="3"/>
        <charset val="128"/>
      </rPr>
      <t>中空層の厚さ</t>
    </r>
  </si>
  <si>
    <r>
      <rPr>
        <sz val="11"/>
        <color rgb="FFFFFFFF"/>
        <rFont val="Meiryo UI"/>
        <family val="3"/>
        <charset val="128"/>
      </rPr>
      <t>シャッター・
雨戸付</t>
    </r>
  </si>
  <si>
    <r>
      <rPr>
        <sz val="11"/>
        <color rgb="FFFFFFFF"/>
        <rFont val="Meiryo UI"/>
        <family val="3"/>
        <charset val="128"/>
      </rPr>
      <t>紙障子付</t>
    </r>
  </si>
  <si>
    <r>
      <rPr>
        <sz val="11"/>
        <color rgb="FFFFFFFF"/>
        <rFont val="Meiryo UI"/>
        <family val="3"/>
        <charset val="128"/>
      </rPr>
      <t>風除室あり</t>
    </r>
  </si>
  <si>
    <r>
      <rPr>
        <sz val="11"/>
        <color rgb="FF231F20"/>
        <rFont val="Meiryo UI"/>
        <family val="3"/>
        <charset val="128"/>
      </rPr>
      <t>樹脂製建具 又は木製建具</t>
    </r>
  </si>
  <si>
    <r>
      <rPr>
        <sz val="11"/>
        <color rgb="FF231F20"/>
        <rFont val="Meiryo UI"/>
        <family val="3"/>
        <charset val="128"/>
      </rPr>
      <t>三層複層ガラス</t>
    </r>
  </si>
  <si>
    <r>
      <rPr>
        <sz val="11"/>
        <color rgb="FF231F20"/>
        <rFont val="Meiryo UI"/>
        <family val="3"/>
        <charset val="128"/>
      </rPr>
      <t>Low-E ガラス ２枚</t>
    </r>
  </si>
  <si>
    <r>
      <rPr>
        <sz val="11"/>
        <color rgb="FF231F20"/>
        <rFont val="Meiryo UI"/>
        <family val="3"/>
        <charset val="128"/>
      </rPr>
      <t>されている</t>
    </r>
  </si>
  <si>
    <r>
      <rPr>
        <sz val="11"/>
        <color rgb="FF231F20"/>
        <rFont val="Meiryo UI"/>
        <family val="3"/>
        <charset val="128"/>
      </rPr>
      <t>13 ㎜以上</t>
    </r>
  </si>
  <si>
    <r>
      <rPr>
        <sz val="11"/>
        <color rgb="FF231F20"/>
        <rFont val="Meiryo UI"/>
        <family val="3"/>
        <charset val="128"/>
      </rPr>
      <t>10 ㎜以上 13 ㎜未満</t>
    </r>
  </si>
  <si>
    <r>
      <rPr>
        <sz val="11"/>
        <color rgb="FF231F20"/>
        <rFont val="Meiryo UI"/>
        <family val="3"/>
        <charset val="128"/>
      </rPr>
      <t>7 ㎜以上 10 ㎜未満</t>
    </r>
  </si>
  <si>
    <r>
      <rPr>
        <sz val="11"/>
        <color rgb="FF231F20"/>
        <rFont val="Meiryo UI"/>
        <family val="3"/>
        <charset val="128"/>
      </rPr>
      <t>7 ㎜未満</t>
    </r>
  </si>
  <si>
    <r>
      <rPr>
        <sz val="11"/>
        <color rgb="FF231F20"/>
        <rFont val="Meiryo UI"/>
        <family val="3"/>
        <charset val="128"/>
      </rPr>
      <t>されていない</t>
    </r>
  </si>
  <si>
    <r>
      <rPr>
        <sz val="11"/>
        <color rgb="FF231F20"/>
        <rFont val="Meiryo UI"/>
        <family val="3"/>
        <charset val="128"/>
      </rPr>
      <t>9 ㎜以上 13 ㎜未満</t>
    </r>
  </si>
  <si>
    <r>
      <rPr>
        <sz val="11"/>
        <color rgb="FF231F20"/>
        <rFont val="Meiryo UI"/>
        <family val="3"/>
        <charset val="128"/>
      </rPr>
      <t>7 ㎜以上 9 ㎜未満</t>
    </r>
  </si>
  <si>
    <r>
      <rPr>
        <sz val="11"/>
        <color rgb="FF231F20"/>
        <rFont val="Meiryo UI"/>
        <family val="3"/>
        <charset val="128"/>
      </rPr>
      <t>Low-E ガラス １枚</t>
    </r>
  </si>
  <si>
    <r>
      <rPr>
        <sz val="11"/>
        <color rgb="FF231F20"/>
        <rFont val="Meiryo UI"/>
        <family val="3"/>
        <charset val="128"/>
      </rPr>
      <t>10 ㎜以上</t>
    </r>
  </si>
  <si>
    <r>
      <rPr>
        <sz val="11"/>
        <color rgb="FF231F20"/>
        <rFont val="Meiryo UI"/>
        <family val="3"/>
        <charset val="128"/>
      </rPr>
      <t>10 ㎜未満</t>
    </r>
  </si>
  <si>
    <r>
      <rPr>
        <sz val="11"/>
        <color rgb="FF231F20"/>
        <rFont val="Meiryo UI"/>
        <family val="3"/>
        <charset val="128"/>
      </rPr>
      <t>一般ガラス</t>
    </r>
  </si>
  <si>
    <r>
      <rPr>
        <sz val="11"/>
        <color rgb="FF231F20"/>
        <rFont val="Meiryo UI"/>
        <family val="3"/>
        <charset val="128"/>
      </rPr>
      <t>12 ㎜以上</t>
    </r>
  </si>
  <si>
    <r>
      <rPr>
        <sz val="11"/>
        <color rgb="FF231F20"/>
        <rFont val="Meiryo UI"/>
        <family val="3"/>
        <charset val="128"/>
      </rPr>
      <t>12 ㎜未満</t>
    </r>
  </si>
  <si>
    <r>
      <rPr>
        <sz val="11"/>
        <color rgb="FF231F20"/>
        <rFont val="Meiryo UI"/>
        <family val="3"/>
        <charset val="128"/>
      </rPr>
      <t>二層複層ガラス</t>
    </r>
  </si>
  <si>
    <r>
      <rPr>
        <sz val="11"/>
        <color rgb="FF231F20"/>
        <rFont val="Meiryo UI"/>
        <family val="3"/>
        <charset val="128"/>
      </rPr>
      <t>Low-E ガラス</t>
    </r>
  </si>
  <si>
    <r>
      <rPr>
        <sz val="11"/>
        <color rgb="FF231F20"/>
        <rFont val="Meiryo UI"/>
        <family val="3"/>
        <charset val="128"/>
      </rPr>
      <t>8 ㎜以上 10 ㎜未満</t>
    </r>
  </si>
  <si>
    <r>
      <rPr>
        <sz val="11"/>
        <color rgb="FF231F20"/>
        <rFont val="Meiryo UI"/>
        <family val="3"/>
        <charset val="128"/>
      </rPr>
      <t>8 ㎜未満</t>
    </r>
  </si>
  <si>
    <r>
      <rPr>
        <sz val="11"/>
        <color rgb="FF231F20"/>
        <rFont val="Meiryo UI"/>
        <family val="3"/>
        <charset val="128"/>
      </rPr>
      <t>14 ㎜以上</t>
    </r>
  </si>
  <si>
    <r>
      <rPr>
        <sz val="11"/>
        <color rgb="FF231F20"/>
        <rFont val="Meiryo UI"/>
        <family val="3"/>
        <charset val="128"/>
      </rPr>
      <t>11 ㎜以上 14 ㎜未満</t>
    </r>
  </si>
  <si>
    <r>
      <rPr>
        <sz val="11"/>
        <color rgb="FF231F20"/>
        <rFont val="Meiryo UI"/>
        <family val="3"/>
        <charset val="128"/>
      </rPr>
      <t>11 ㎜未満</t>
    </r>
  </si>
  <si>
    <r>
      <rPr>
        <sz val="11"/>
        <color rgb="FF231F20"/>
        <rFont val="Meiryo UI"/>
        <family val="3"/>
        <charset val="128"/>
      </rPr>
      <t>13 ㎜未満</t>
    </r>
  </si>
  <si>
    <r>
      <rPr>
        <sz val="11"/>
        <color rgb="FF231F20"/>
        <rFont val="Meiryo UI"/>
        <family val="3"/>
        <charset val="128"/>
      </rPr>
      <t>単板ガラス</t>
    </r>
  </si>
  <si>
    <r>
      <rPr>
        <sz val="11"/>
        <color rgb="FF231F20"/>
        <rFont val="Meiryo UI"/>
        <family val="3"/>
        <charset val="128"/>
      </rPr>
      <t>－</t>
    </r>
  </si>
  <si>
    <r>
      <rPr>
        <sz val="11"/>
        <color rgb="FF231F20"/>
        <rFont val="Meiryo UI"/>
        <family val="3"/>
        <charset val="128"/>
      </rPr>
      <t>8 ㎜以上 12 ㎜未満</t>
    </r>
  </si>
  <si>
    <r>
      <rPr>
        <sz val="11"/>
        <color rgb="FF231F20"/>
        <rFont val="Meiryo UI"/>
        <family val="3"/>
        <charset val="128"/>
      </rPr>
      <t>16 ㎜以上</t>
    </r>
  </si>
  <si>
    <r>
      <rPr>
        <sz val="11"/>
        <color rgb="FF231F20"/>
        <rFont val="Meiryo UI"/>
        <family val="3"/>
        <charset val="128"/>
      </rPr>
      <t>10 ㎜以上 16 ㎜未満</t>
    </r>
  </si>
  <si>
    <r>
      <rPr>
        <sz val="11"/>
        <color rgb="FF231F20"/>
        <rFont val="Meiryo UI"/>
        <family val="3"/>
        <charset val="128"/>
      </rPr>
      <t>9 ㎜以上 12 ㎜未満</t>
    </r>
  </si>
  <si>
    <r>
      <rPr>
        <sz val="11"/>
        <color rgb="FF231F20"/>
        <rFont val="Meiryo UI"/>
        <family val="3"/>
        <charset val="128"/>
      </rPr>
      <t>9 ㎜未満</t>
    </r>
  </si>
  <si>
    <r>
      <rPr>
        <sz val="11"/>
        <color rgb="FF231F20"/>
        <rFont val="Meiryo UI"/>
        <family val="3"/>
        <charset val="128"/>
      </rPr>
      <t>12 ㎜以上 16 ㎜未満</t>
    </r>
  </si>
  <si>
    <r>
      <rPr>
        <sz val="11"/>
        <color rgb="FF231F20"/>
        <rFont val="Meiryo UI"/>
        <family val="3"/>
        <charset val="128"/>
      </rPr>
      <t>7 ㎜以上</t>
    </r>
  </si>
  <si>
    <r>
      <rPr>
        <sz val="11"/>
        <color rgb="FF231F20"/>
        <rFont val="Meiryo UI"/>
        <family val="3"/>
        <charset val="128"/>
      </rPr>
      <t>14 ㎜未満</t>
    </r>
  </si>
  <si>
    <r>
      <rPr>
        <sz val="11"/>
        <color rgb="FF231F20"/>
        <rFont val="Meiryo UI"/>
        <family val="3"/>
        <charset val="128"/>
      </rPr>
      <t>9 ㎜以上</t>
    </r>
  </si>
  <si>
    <r>
      <rPr>
        <sz val="11"/>
        <color rgb="FF231F20"/>
        <rFont val="Meiryo UI"/>
        <family val="3"/>
        <charset val="128"/>
      </rPr>
      <t>11 ㎜以上</t>
    </r>
  </si>
  <si>
    <r>
      <rPr>
        <sz val="11"/>
        <color rgb="FF231F20"/>
        <rFont val="Meiryo UI"/>
        <family val="3"/>
        <charset val="128"/>
      </rPr>
      <t>その他
・金属製建具
・金属製熱遮断構造建具等</t>
    </r>
  </si>
  <si>
    <r>
      <rPr>
        <sz val="11"/>
        <color rgb="FF231F20"/>
        <rFont val="Meiryo UI"/>
        <family val="3"/>
        <charset val="128"/>
      </rPr>
      <t>7 ㎜以上 14 ㎜未満</t>
    </r>
  </si>
  <si>
    <r>
      <rPr>
        <sz val="11"/>
        <color rgb="FF231F20"/>
        <rFont val="Meiryo UI"/>
        <family val="3"/>
        <charset val="128"/>
      </rPr>
      <t>8 ㎜以上</t>
    </r>
  </si>
  <si>
    <t>付属部材無し</t>
    <phoneticPr fontId="12"/>
  </si>
  <si>
    <t>中空層の仕様</t>
    <phoneticPr fontId="12"/>
  </si>
  <si>
    <r>
      <t xml:space="preserve">開口部の熱貫流率
 [W/(㎡・K)] </t>
    </r>
    <r>
      <rPr>
        <vertAlign val="superscript"/>
        <sz val="11"/>
        <color rgb="FFFFFFFF"/>
        <rFont val="Meiryo UI"/>
        <family val="3"/>
        <charset val="128"/>
      </rPr>
      <t>※2</t>
    </r>
    <r>
      <rPr>
        <sz val="11"/>
        <color rgb="FFFFFFFF"/>
        <rFont val="Meiryo UI"/>
        <family val="3"/>
        <charset val="128"/>
      </rPr>
      <t xml:space="preserve"> </t>
    </r>
    <phoneticPr fontId="12"/>
  </si>
  <si>
    <t>日射熱取得率ηｇ</t>
    <phoneticPr fontId="12"/>
  </si>
  <si>
    <t>日射取得型</t>
    <phoneticPr fontId="12"/>
  </si>
  <si>
    <t>日射遮蔽型</t>
    <phoneticPr fontId="12"/>
  </si>
  <si>
    <t>住宅の省エネルギー基準と評価方法2024【戸建住宅版】　 6-032　6-033　6-035</t>
    <phoneticPr fontId="12"/>
  </si>
  <si>
    <t>ガスの封入されている_13 ㎜以上</t>
    <phoneticPr fontId="35"/>
  </si>
  <si>
    <t>ガスの封入されている_7 ㎜未満</t>
    <phoneticPr fontId="35"/>
  </si>
  <si>
    <t>ガスの封入されていない_13 ㎜以上</t>
  </si>
  <si>
    <t>ガスの封入されていない_7 ㎜未満</t>
    <phoneticPr fontId="12"/>
  </si>
  <si>
    <t>ガスの封入されている_10 ㎜以上</t>
    <phoneticPr fontId="35"/>
  </si>
  <si>
    <t>ガスの封入されている_10 ㎜未満</t>
    <phoneticPr fontId="35"/>
  </si>
  <si>
    <t>ガスの封入されていない_12 ㎜以上</t>
    <phoneticPr fontId="35"/>
  </si>
  <si>
    <t>ガスの封入されていない_12 ㎜未満</t>
    <phoneticPr fontId="35"/>
  </si>
  <si>
    <t>ガスの封入されている_8 ㎜未満</t>
    <phoneticPr fontId="35"/>
  </si>
  <si>
    <t>ガスの封入されていない_14 ㎜以上</t>
    <phoneticPr fontId="35"/>
  </si>
  <si>
    <t>ガスの封入されていない_11 ㎜未満</t>
    <phoneticPr fontId="35"/>
  </si>
  <si>
    <t>ガスの封入されていない_13 ㎜以上</t>
    <phoneticPr fontId="35"/>
  </si>
  <si>
    <t>ガスの封入されていない_13 ㎜未満</t>
    <phoneticPr fontId="35"/>
  </si>
  <si>
    <t>中空層の仕様</t>
    <rPh sb="0" eb="2">
      <t>チュウクウ</t>
    </rPh>
    <rPh sb="2" eb="3">
      <t>ソウ</t>
    </rPh>
    <rPh sb="4" eb="6">
      <t>シヨウ</t>
    </rPh>
    <phoneticPr fontId="12"/>
  </si>
  <si>
    <t>樹脂（又は木）と金属の複合材料製建具</t>
    <phoneticPr fontId="12"/>
  </si>
  <si>
    <t>その他
・金属製建具
・金属製熱遮断構造建具等</t>
  </si>
  <si>
    <t>ガスの封入されている_12 ㎜以上</t>
  </si>
  <si>
    <t>ガスの封入されている_8 ㎜未満</t>
  </si>
  <si>
    <t>ガスの封入されていない_16 ㎜以上</t>
  </si>
  <si>
    <t>ガスの封入されていない_10 ㎜以上 16 ㎜未満</t>
  </si>
  <si>
    <t>ガスの封入されていない_8 ㎜以上 10 ㎜未満</t>
  </si>
  <si>
    <t>ガスの封入されていない_8 ㎜未満</t>
  </si>
  <si>
    <t>ガスの封入されている_8 ㎜以上 12 ㎜未満</t>
    <phoneticPr fontId="12"/>
  </si>
  <si>
    <t>樹脂製建具又は木製建具_三層複層ガラス_Low_E２枚</t>
    <phoneticPr fontId="35"/>
  </si>
  <si>
    <t>樹脂製建具又は木製建具_三層複層ガラス_Low_E１枚</t>
    <phoneticPr fontId="35"/>
  </si>
  <si>
    <t>樹脂製建具又は木製建具_三層複層ガラス_一般</t>
    <phoneticPr fontId="35"/>
  </si>
  <si>
    <t>樹脂製建具又は木製建具_複層ガラス_Low_E</t>
    <phoneticPr fontId="35"/>
  </si>
  <si>
    <t>樹脂製建具又は木製建具_複層ガラス_一般</t>
    <phoneticPr fontId="35"/>
  </si>
  <si>
    <t>ガスの封入されていない_12 ㎜未満</t>
  </si>
  <si>
    <t>樹脂_又は木_と金属の複合材料製建具_三層複層ガラス_Low_E２枚</t>
    <rPh sb="0" eb="2">
      <t>ジュシ</t>
    </rPh>
    <rPh sb="3" eb="4">
      <t>マタ</t>
    </rPh>
    <rPh sb="5" eb="6">
      <t>キ</t>
    </rPh>
    <rPh sb="8" eb="10">
      <t>キンゾク</t>
    </rPh>
    <rPh sb="11" eb="13">
      <t>フクゴウ</t>
    </rPh>
    <rPh sb="13" eb="15">
      <t>ザイリョウ</t>
    </rPh>
    <rPh sb="15" eb="16">
      <t>セイ</t>
    </rPh>
    <rPh sb="16" eb="18">
      <t>タテグ</t>
    </rPh>
    <phoneticPr fontId="35"/>
  </si>
  <si>
    <t>樹脂_又は木_と金属の複合材料製建具_三層複層ガラス_一般</t>
    <phoneticPr fontId="35"/>
  </si>
  <si>
    <t>樹脂_又は木_と金属の複合材料製建具_複層ガラス_Low_E</t>
    <phoneticPr fontId="35"/>
  </si>
  <si>
    <t>樹脂_又は木_と金属の複合材料製建具_複層ガラス_一般</t>
    <phoneticPr fontId="35"/>
  </si>
  <si>
    <t>ガスの封入されている_9 ㎜以上 12 ㎜未満</t>
  </si>
  <si>
    <t>ガスの封入されている_9 ㎜未満</t>
  </si>
  <si>
    <t>ガスの封入されていない_12 ㎜以上 16 ㎜未満</t>
  </si>
  <si>
    <t>ガスの封入されていない_7 ㎜以上</t>
  </si>
  <si>
    <t>ガスの封入されていない_7 ㎜未満</t>
  </si>
  <si>
    <t>ガスの封入されている_14 ㎜未満</t>
  </si>
  <si>
    <t>ガスの封入されていない_9 ㎜以上</t>
  </si>
  <si>
    <t>ガスの封入されていない_9 ㎜未満</t>
  </si>
  <si>
    <t>ガスの封入されていない_11 ㎜以上</t>
  </si>
  <si>
    <t>ガスの封入されていない_11 ㎜未満</t>
  </si>
  <si>
    <t>ガスの封入されている_12 ㎜以上</t>
    <phoneticPr fontId="12"/>
  </si>
  <si>
    <t>ガスの封入されている_10 ㎜以上 13 ㎜未満</t>
    <phoneticPr fontId="35"/>
  </si>
  <si>
    <t>ガスの封入されている_7 ㎜以上 10 ㎜未満</t>
    <phoneticPr fontId="35"/>
  </si>
  <si>
    <t>ガスの封入されていない_9 ㎜以上 13 ㎜未満</t>
    <phoneticPr fontId="12"/>
  </si>
  <si>
    <t>ガスの封入されていない_7 ㎜以上 9 ㎜未満</t>
    <phoneticPr fontId="12"/>
  </si>
  <si>
    <t>ガスの封入されている_8 ㎜以上 10 ㎜未満</t>
    <phoneticPr fontId="35"/>
  </si>
  <si>
    <t>ガスの封入されていない_11 ㎜以上 14 ㎜未満</t>
    <phoneticPr fontId="35"/>
  </si>
  <si>
    <t>日射取得型</t>
  </si>
  <si>
    <t>日射遮蔽型</t>
  </si>
  <si>
    <t>日射取得型</t>
    <rPh sb="0" eb="2">
      <t>ニッシャ</t>
    </rPh>
    <rPh sb="2" eb="4">
      <t>シュトク</t>
    </rPh>
    <rPh sb="4" eb="5">
      <t>カタ</t>
    </rPh>
    <phoneticPr fontId="35"/>
  </si>
  <si>
    <t>日射遮蔽型</t>
    <rPh sb="0" eb="2">
      <t>ニッシャ</t>
    </rPh>
    <rPh sb="2" eb="4">
      <t>シャヘイ</t>
    </rPh>
    <phoneticPr fontId="35"/>
  </si>
  <si>
    <r>
      <t>断熱材の種類、熱伝導率</t>
    </r>
    <r>
      <rPr>
        <b/>
        <sz val="12"/>
        <color theme="0"/>
        <rFont val="Calibri"/>
        <family val="3"/>
        <charset val="161"/>
      </rPr>
      <t>λ</t>
    </r>
    <r>
      <rPr>
        <b/>
        <sz val="12"/>
        <color theme="0"/>
        <rFont val="BIZ UDPゴシック"/>
        <family val="3"/>
        <charset val="128"/>
      </rPr>
      <t>、厚さ、参考資料等を記入</t>
    </r>
    <rPh sb="0" eb="3">
      <t>ダンネツザイ</t>
    </rPh>
    <rPh sb="4" eb="6">
      <t>シュルイ</t>
    </rPh>
    <rPh sb="13" eb="14">
      <t>アツ</t>
    </rPh>
    <rPh sb="16" eb="20">
      <t>サンコウシリョウ</t>
    </rPh>
    <rPh sb="20" eb="21">
      <t>トウ</t>
    </rPh>
    <rPh sb="22" eb="24">
      <t>キニュウ</t>
    </rPh>
    <phoneticPr fontId="12"/>
  </si>
  <si>
    <t>その他・金属製建具・金属製熱遮断構造建具等_複層ガラス_Low_E</t>
    <phoneticPr fontId="35"/>
  </si>
  <si>
    <t>ガスの封入されている_14 ㎜以上</t>
    <phoneticPr fontId="12"/>
  </si>
  <si>
    <t>ガスの封されている_10 ㎜以上</t>
  </si>
  <si>
    <t>ガスの封されている_10 ㎜未満</t>
  </si>
  <si>
    <t>ガスの封されていない_14 ㎜以上</t>
  </si>
  <si>
    <t>ガスの封されていない_7 ㎜以上 14 ㎜未満</t>
  </si>
  <si>
    <t>ガスの封されていない_7 ㎜未満</t>
  </si>
  <si>
    <t>ガスの封されていない_8 ㎜以上</t>
  </si>
  <si>
    <t>ガスの封されていない_8 ㎜未満</t>
  </si>
  <si>
    <t>その他・金属製建具・金属製熱遮断構造建具等_複層ガラス_一般</t>
    <phoneticPr fontId="35"/>
  </si>
  <si>
    <t>ー</t>
  </si>
  <si>
    <t>ー</t>
    <phoneticPr fontId="12"/>
  </si>
  <si>
    <t>樹脂製建具又は木製建具_単板ガラス</t>
    <phoneticPr fontId="35"/>
  </si>
  <si>
    <t>樹脂_又は木_と金属の複合材料製建具_単板ガラス</t>
    <phoneticPr fontId="35"/>
  </si>
  <si>
    <t>その他・金属製建具・金属製熱遮断構造建具等_単板ガラス</t>
    <phoneticPr fontId="35"/>
  </si>
  <si>
    <t>確認</t>
    <rPh sb="0" eb="2">
      <t>カクニン</t>
    </rPh>
    <phoneticPr fontId="12"/>
  </si>
  <si>
    <t>戸の仕様</t>
    <phoneticPr fontId="12"/>
  </si>
  <si>
    <t>ガラスの仕様</t>
    <phoneticPr fontId="12"/>
  </si>
  <si>
    <r>
      <rPr>
        <sz val="11"/>
        <color rgb="FFFFFFFF"/>
        <rFont val="Meiryo UI"/>
        <family val="3"/>
        <charset val="128"/>
      </rPr>
      <t>枠の仕様</t>
    </r>
  </si>
  <si>
    <r>
      <rPr>
        <sz val="11"/>
        <color rgb="FFFFFFFF"/>
        <rFont val="Meiryo UI"/>
        <family val="3"/>
        <charset val="128"/>
      </rPr>
      <t>中空層</t>
    </r>
  </si>
  <si>
    <r>
      <rPr>
        <sz val="11"/>
        <color rgb="FFFFFFFF"/>
        <rFont val="Meiryo UI"/>
        <family val="3"/>
        <charset val="128"/>
      </rPr>
      <t>の仕様</t>
    </r>
  </si>
  <si>
    <r>
      <rPr>
        <sz val="11"/>
        <color rgb="FFFFFFFF"/>
        <rFont val="Meiryo UI"/>
        <family val="3"/>
        <charset val="128"/>
      </rPr>
      <t>付属部材無し</t>
    </r>
  </si>
  <si>
    <r>
      <rPr>
        <sz val="11"/>
        <color rgb="FF231F20"/>
        <rFont val="Meiryo UI"/>
        <family val="3"/>
        <charset val="128"/>
      </rPr>
      <t>ドア内ガラスなし</t>
    </r>
  </si>
  <si>
    <r>
      <rPr>
        <sz val="11"/>
        <color rgb="FF231F20"/>
        <rFont val="Meiryo UI"/>
        <family val="3"/>
        <charset val="128"/>
      </rPr>
      <t>金属製</t>
    </r>
  </si>
  <si>
    <r>
      <rPr>
        <sz val="11"/>
        <color rgb="FF231F20"/>
        <rFont val="Meiryo UI"/>
        <family val="3"/>
        <charset val="128"/>
      </rPr>
      <t>高断熱</t>
    </r>
  </si>
  <si>
    <r>
      <rPr>
        <sz val="11"/>
        <color rgb="FF231F20"/>
        <rFont val="Meiryo UI"/>
        <family val="3"/>
        <charset val="128"/>
      </rPr>
      <t>Low-E</t>
    </r>
  </si>
  <si>
    <r>
      <rPr>
        <sz val="11"/>
        <color rgb="FF231F20"/>
        <rFont val="Meiryo UI"/>
        <family val="3"/>
        <charset val="128"/>
      </rPr>
      <t>フラッシュ</t>
    </r>
  </si>
  <si>
    <r>
      <rPr>
        <sz val="11"/>
        <color rgb="FF231F20"/>
        <rFont val="Meiryo UI"/>
        <family val="3"/>
        <charset val="128"/>
      </rPr>
      <t>ドア内ガラスあり</t>
    </r>
  </si>
  <si>
    <r>
      <rPr>
        <sz val="11"/>
        <color rgb="FF231F20"/>
        <rFont val="Meiryo UI"/>
        <family val="3"/>
        <charset val="128"/>
      </rPr>
      <t>構造</t>
    </r>
  </si>
  <si>
    <r>
      <rPr>
        <sz val="11"/>
        <color rgb="FF231F20"/>
        <rFont val="Meiryo UI"/>
        <family val="3"/>
        <charset val="128"/>
      </rPr>
      <t>中空層厚問わない</t>
    </r>
  </si>
  <si>
    <r>
      <rPr>
        <sz val="11"/>
        <color rgb="FF231F20"/>
        <rFont val="Meiryo UI"/>
        <family val="3"/>
        <charset val="128"/>
      </rPr>
      <t>金属製断熱フラッシュ構造</t>
    </r>
  </si>
  <si>
    <r>
      <rPr>
        <sz val="11"/>
        <color rgb="FF231F20"/>
        <rFont val="Meiryo UI"/>
        <family val="3"/>
        <charset val="128"/>
      </rPr>
      <t>金属製
フラッシュ構造</t>
    </r>
  </si>
  <si>
    <r>
      <rPr>
        <sz val="11"/>
        <color rgb="FF231F20"/>
        <rFont val="Meiryo UI"/>
        <family val="3"/>
        <charset val="128"/>
      </rPr>
      <t>Low-E
二層複層ガラス</t>
    </r>
  </si>
  <si>
    <r>
      <rPr>
        <sz val="11"/>
        <color rgb="FF231F20"/>
        <rFont val="Meiryo UI"/>
        <family val="3"/>
        <charset val="128"/>
      </rPr>
      <t>ハニカム</t>
    </r>
  </si>
  <si>
    <r>
      <rPr>
        <sz val="11"/>
        <color rgb="FF231F20"/>
        <rFont val="Meiryo UI"/>
        <family val="3"/>
        <charset val="128"/>
      </rPr>
      <t>15 ㎜以上</t>
    </r>
  </si>
  <si>
    <r>
      <rPr>
        <sz val="11"/>
        <color rgb="FF231F20"/>
        <rFont val="Meiryo UI"/>
        <family val="3"/>
        <charset val="128"/>
      </rPr>
      <t>15 ㎜未満</t>
    </r>
  </si>
  <si>
    <r>
      <rPr>
        <sz val="11"/>
        <color rgb="FF231F20"/>
        <rFont val="Meiryo UI"/>
        <family val="3"/>
        <charset val="128"/>
      </rPr>
      <t>又は
その他</t>
    </r>
  </si>
  <si>
    <r>
      <rPr>
        <sz val="11"/>
        <color rgb="FF231F20"/>
        <rFont val="Meiryo UI"/>
        <family val="3"/>
        <charset val="128"/>
      </rPr>
      <t>金属製</t>
    </r>
    <r>
      <rPr>
        <sz val="11"/>
        <rFont val="Meiryo UI"/>
        <family val="3"/>
        <charset val="128"/>
      </rPr>
      <t>熱遮断構造</t>
    </r>
    <phoneticPr fontId="12"/>
  </si>
  <si>
    <t>金属製熱遮断構造</t>
    <phoneticPr fontId="35"/>
  </si>
  <si>
    <t>複合材料製</t>
    <phoneticPr fontId="12"/>
  </si>
  <si>
    <t>金属製又はその他</t>
    <phoneticPr fontId="12"/>
  </si>
  <si>
    <t>金属製断熱フラッシュ構造</t>
    <phoneticPr fontId="12"/>
  </si>
  <si>
    <t>金属製
フラッシュ構造</t>
    <phoneticPr fontId="12"/>
  </si>
  <si>
    <t>複合材料製</t>
    <phoneticPr fontId="35"/>
  </si>
  <si>
    <t>金属製又はその他</t>
    <phoneticPr fontId="35"/>
  </si>
  <si>
    <t>ドア内ガラスなし</t>
    <phoneticPr fontId="12"/>
  </si>
  <si>
    <t>金属製高断熱フラッシュ構造_ドア内ガラスなし</t>
    <phoneticPr fontId="12"/>
  </si>
  <si>
    <t>金属製高断熱フラッシュ構造_ドア内ガラスあり</t>
    <phoneticPr fontId="12"/>
  </si>
  <si>
    <t>金属製断熱フラッシュ構造_ドア内ガラスなし</t>
    <phoneticPr fontId="12"/>
  </si>
  <si>
    <t>金属製断熱フラッシュ構造_ドア内ガラスあり</t>
    <phoneticPr fontId="12"/>
  </si>
  <si>
    <t>金属製フラッシュ構造_ドア内ガラスなし</t>
    <phoneticPr fontId="12"/>
  </si>
  <si>
    <t>金属製フラッシュ構造_ドア内ガラスあり</t>
    <phoneticPr fontId="12"/>
  </si>
  <si>
    <t>金属製ハニカムフラッシュ構造_ドア内ガラスなし</t>
    <phoneticPr fontId="12"/>
  </si>
  <si>
    <t>金属製ハニカムフラッシュ構造_ドア内ガラスあり</t>
    <phoneticPr fontId="12"/>
  </si>
  <si>
    <t>金属製又はその他_ドア内ガラスなし</t>
    <phoneticPr fontId="12"/>
  </si>
  <si>
    <t>金属製又はその他_ドア内ガラスあり</t>
    <phoneticPr fontId="12"/>
  </si>
  <si>
    <t>ガラスの仕様_中空層の仕様</t>
    <rPh sb="4" eb="6">
      <t>シヨウ</t>
    </rPh>
    <rPh sb="7" eb="10">
      <t>チュウクウソウ</t>
    </rPh>
    <rPh sb="11" eb="13">
      <t>シヨウ</t>
    </rPh>
    <phoneticPr fontId="12"/>
  </si>
  <si>
    <t>Low-E二層複層ガラス_ガスの封入されている_7 ㎜以上</t>
    <phoneticPr fontId="35"/>
  </si>
  <si>
    <t>Low-E二層複層ガラス_ガスの封入されている_7 ㎜未満</t>
    <phoneticPr fontId="35"/>
  </si>
  <si>
    <t>Low-E二層複層ガラス_ガスの封入されていない_9 ㎜以上</t>
    <phoneticPr fontId="35"/>
  </si>
  <si>
    <t>Low-E二層複層ガラス_ガスの封入されていない_9 ㎜未満</t>
    <phoneticPr fontId="35"/>
  </si>
  <si>
    <t>二層複層ガラス_ガスの封入されていない_中空層厚問わない</t>
    <phoneticPr fontId="35"/>
  </si>
  <si>
    <t>Low-E二層複層ガラス_ガスの封入されている_10 ㎜以上</t>
    <phoneticPr fontId="35"/>
  </si>
  <si>
    <t>Low-E二層複層ガラス_ガスの封入されている_10 ㎜未満</t>
    <phoneticPr fontId="35"/>
  </si>
  <si>
    <t>Low-E二層複層ガラス_ガスの封入されていない_14 ㎜以上</t>
    <phoneticPr fontId="35"/>
  </si>
  <si>
    <t>Low-E二層複層ガラス_ガスの封入されていない_14 ㎜未満</t>
    <phoneticPr fontId="35"/>
  </si>
  <si>
    <t>Low-E二層複層ガラス_ガスの封入されている_中空層厚問わない</t>
    <phoneticPr fontId="35"/>
  </si>
  <si>
    <t>Low-E二層複層ガラス_ガスの封入されていない_中空層厚問わない</t>
    <phoneticPr fontId="35"/>
  </si>
  <si>
    <t>Low-E二層複層ガラス_ガスの封入されている_8 ㎜以上</t>
    <phoneticPr fontId="35"/>
  </si>
  <si>
    <t>Low-E二層複層ガラス_ガスの封入されている_8 ㎜未満</t>
    <phoneticPr fontId="35"/>
  </si>
  <si>
    <t>Low-E二層複層ガラス_ガスの封入されていない_10 ㎜以上</t>
    <phoneticPr fontId="35"/>
  </si>
  <si>
    <t>Low-E二層複層ガラス_ガスの封入されていない_10 ㎜未満</t>
    <phoneticPr fontId="35"/>
  </si>
  <si>
    <t>Low-E二層複層ガラス_ガスの封入されている_11 ㎜以上</t>
    <phoneticPr fontId="35"/>
  </si>
  <si>
    <t>Low-E二層複層ガラス_ガスの封入されている_11 ㎜未満</t>
    <phoneticPr fontId="35"/>
  </si>
  <si>
    <t>Low-E二層複層ガラス_ガスの封入されていない_15 ㎜以上</t>
    <phoneticPr fontId="35"/>
  </si>
  <si>
    <t>Low-E二層複層ガラス_ガスの封入されていない_15 ㎜未満</t>
    <phoneticPr fontId="35"/>
  </si>
  <si>
    <t>二層複層ガラス_ガスの封入されていない_8 ㎜以上</t>
    <phoneticPr fontId="35"/>
  </si>
  <si>
    <t>二層複層ガラス_ガスの封入されていない_8 ㎜未満</t>
    <phoneticPr fontId="35"/>
  </si>
  <si>
    <t>単板ガラス_－</t>
    <phoneticPr fontId="35"/>
  </si>
  <si>
    <t xml:space="preserve"> ガラスの仕様・中空層の仕様</t>
    <rPh sb="5" eb="7">
      <t>シヨウ</t>
    </rPh>
    <phoneticPr fontId="12"/>
  </si>
  <si>
    <t>金属製熱遮断構造_金属製高断熱フラッシュ構造_ドア内ガラスなし</t>
    <phoneticPr fontId="12"/>
  </si>
  <si>
    <t>金属製熱遮断構造_金属製高断熱フラッシュ構造_ドア内ガラスあり</t>
    <phoneticPr fontId="12"/>
  </si>
  <si>
    <t>金属製熱遮断構造_金属製断熱フラッシュ構造_ドア内ガラスなし</t>
    <phoneticPr fontId="12"/>
  </si>
  <si>
    <t>金属製熱遮断構造_金属製断熱フラッシュ構造_ドア内ガラスあり</t>
    <phoneticPr fontId="12"/>
  </si>
  <si>
    <t>金属製熱遮断構造_金属製フラッシュ構造_ドア内ガラスなし</t>
    <phoneticPr fontId="12"/>
  </si>
  <si>
    <t>金属製熱遮断構造_金属製フラッシュ構造_ドア内ガラスあり</t>
    <phoneticPr fontId="12"/>
  </si>
  <si>
    <t>金属製熱遮断構造_金属製ハニカムフラッシュ構造_ドア内ガラスなし</t>
    <phoneticPr fontId="12"/>
  </si>
  <si>
    <t>金属製熱遮断構造_金属製ハニカムフラッシュ構造_ドア内ガラスあり</t>
    <phoneticPr fontId="12"/>
  </si>
  <si>
    <t>複合材料製_金属製高断熱フラッシュ構造_ドア内ガラスなし</t>
    <phoneticPr fontId="12"/>
  </si>
  <si>
    <t>複合材料製_金属製高断熱フラッシュ構造_ドア内ガラスあり</t>
    <phoneticPr fontId="12"/>
  </si>
  <si>
    <t>複合材料製_金属製断熱フラッシュ構造_ドア内ガラスなし</t>
    <phoneticPr fontId="12"/>
  </si>
  <si>
    <t>複合材料製_金属製断熱フラッシュ構造_ドア内ガラスあり</t>
    <phoneticPr fontId="12"/>
  </si>
  <si>
    <t>複合材料製_金属製フラッシュ構造_ドア内ガラスなし</t>
    <phoneticPr fontId="12"/>
  </si>
  <si>
    <t>複合材料製_金属製フラッシュ構造_ドア内ガラスあり</t>
    <phoneticPr fontId="12"/>
  </si>
  <si>
    <t>複合材料製_金属製ハニカムフラッシュ構造_ドア内ガラスなし</t>
    <phoneticPr fontId="12"/>
  </si>
  <si>
    <t>複合材料製_金属製ハニカムフラッシュ構造_ドア内ガラスあり</t>
    <phoneticPr fontId="12"/>
  </si>
  <si>
    <t>金属製又はその他_金属製フラッシュ構造_ドア内ガラスなし</t>
    <phoneticPr fontId="12"/>
  </si>
  <si>
    <t>金属製又はその他_金属製フラッシュ構造_ドア内ガラスあり</t>
    <phoneticPr fontId="12"/>
  </si>
  <si>
    <t>金属製又はその他_金属製ハニカムフラッシュ構造_ドア内ガラスなし</t>
    <phoneticPr fontId="12"/>
  </si>
  <si>
    <t>金属製又はその他_金属製ハニカムフラッシュ構造_ドア内ガラスあり</t>
    <phoneticPr fontId="12"/>
  </si>
  <si>
    <t>金属製又はその他_金属製又はその他_ドア内ガラスなし</t>
    <phoneticPr fontId="12"/>
  </si>
  <si>
    <t>金属製又はその他_金属製又はその他_ドア内ガラスあり</t>
    <phoneticPr fontId="12"/>
  </si>
  <si>
    <t>ハニカム フラッシュ
構造</t>
    <phoneticPr fontId="12"/>
  </si>
  <si>
    <r>
      <rPr>
        <sz val="11"/>
        <color rgb="FFFFFFFF"/>
        <rFont val="Meiryo UI"/>
        <family val="3"/>
        <charset val="128"/>
      </rPr>
      <t>開口部の熱貫流率</t>
    </r>
    <r>
      <rPr>
        <vertAlign val="superscript"/>
        <sz val="11"/>
        <color rgb="FFFFFFFF"/>
        <rFont val="Meiryo UI"/>
        <family val="3"/>
        <charset val="128"/>
      </rPr>
      <t xml:space="preserve">［W/(㎡・K)] ※2 </t>
    </r>
    <phoneticPr fontId="12"/>
  </si>
  <si>
    <t>ドアの熱貫流率</t>
    <phoneticPr fontId="12"/>
  </si>
  <si>
    <t>①</t>
    <phoneticPr fontId="12"/>
  </si>
  <si>
    <t>②</t>
    <phoneticPr fontId="12"/>
  </si>
  <si>
    <t>③</t>
    <phoneticPr fontId="12"/>
  </si>
  <si>
    <t>④</t>
    <phoneticPr fontId="12"/>
  </si>
  <si>
    <t>⑤</t>
    <phoneticPr fontId="12"/>
  </si>
  <si>
    <t>⑥</t>
    <phoneticPr fontId="12"/>
  </si>
  <si>
    <t>⑦</t>
    <phoneticPr fontId="12"/>
  </si>
  <si>
    <t>⑧</t>
    <phoneticPr fontId="12"/>
  </si>
  <si>
    <t>⑨</t>
    <phoneticPr fontId="12"/>
  </si>
  <si>
    <t>該当部位なし</t>
    <phoneticPr fontId="12"/>
  </si>
  <si>
    <t>内断熱</t>
    <phoneticPr fontId="12"/>
  </si>
  <si>
    <t>外断熱または両面断熱</t>
    <phoneticPr fontId="12"/>
  </si>
  <si>
    <r>
      <t>比消費電力（熱交換換気設備を採用する場合にあっては比消費電力を有効換気量率で除した値）が0.3[W/(㎥</t>
    </r>
    <r>
      <rPr>
        <sz val="13"/>
        <color theme="1"/>
        <rFont val="Segoe UI Symbol"/>
        <family val="3"/>
      </rPr>
      <t>/h</t>
    </r>
    <r>
      <rPr>
        <sz val="13"/>
        <color theme="1"/>
        <rFont val="BIZ UDPゴシック"/>
        <family val="3"/>
        <charset val="128"/>
      </rPr>
      <t>)]以下の換気設備</t>
    </r>
    <rPh sb="0" eb="1">
      <t>ヒ</t>
    </rPh>
    <rPh sb="1" eb="3">
      <t>ショウヒ</t>
    </rPh>
    <rPh sb="3" eb="5">
      <t>デンリョク</t>
    </rPh>
    <rPh sb="6" eb="9">
      <t>ネツコウカン</t>
    </rPh>
    <rPh sb="9" eb="13">
      <t>カンキセツビ</t>
    </rPh>
    <rPh sb="14" eb="16">
      <t>サイヨウ</t>
    </rPh>
    <rPh sb="18" eb="20">
      <t>バアイ</t>
    </rPh>
    <rPh sb="25" eb="26">
      <t>ヒ</t>
    </rPh>
    <rPh sb="26" eb="28">
      <t>ショウヒ</t>
    </rPh>
    <rPh sb="28" eb="30">
      <t>デンリョク</t>
    </rPh>
    <rPh sb="31" eb="33">
      <t>ユウコウ</t>
    </rPh>
    <rPh sb="33" eb="36">
      <t>カンキリョウ</t>
    </rPh>
    <rPh sb="36" eb="37">
      <t>リツ</t>
    </rPh>
    <rPh sb="38" eb="39">
      <t>ジョ</t>
    </rPh>
    <rPh sb="41" eb="42">
      <t>アタイ</t>
    </rPh>
    <phoneticPr fontId="12"/>
  </si>
  <si>
    <t>あり</t>
    <phoneticPr fontId="12"/>
  </si>
  <si>
    <t>なし</t>
    <phoneticPr fontId="12"/>
  </si>
  <si>
    <t>冷房方式</t>
    <phoneticPr fontId="26"/>
  </si>
  <si>
    <t>一次エネエルギー消費量基準：設備仕様</t>
    <rPh sb="0" eb="2">
      <t>イチジ</t>
    </rPh>
    <phoneticPr fontId="12"/>
  </si>
  <si>
    <t>基準値</t>
    <rPh sb="0" eb="3">
      <t>キジュンチ</t>
    </rPh>
    <phoneticPr fontId="12"/>
  </si>
  <si>
    <t>設計値</t>
    <phoneticPr fontId="12"/>
  </si>
  <si>
    <t xml:space="preserve"> ガラスの仕様・中空層の仕様</t>
    <phoneticPr fontId="12"/>
  </si>
  <si>
    <t>外皮基準：ドア</t>
    <phoneticPr fontId="12"/>
  </si>
  <si>
    <t xml:space="preserve"> ガラスの仕様</t>
    <phoneticPr fontId="12"/>
  </si>
  <si>
    <t>外皮基準：窓</t>
    <phoneticPr fontId="12"/>
  </si>
  <si>
    <t>外気に接する部分</t>
    <rPh sb="0" eb="2">
      <t>ガイキ</t>
    </rPh>
    <rPh sb="3" eb="4">
      <t>セッ</t>
    </rPh>
    <rPh sb="6" eb="8">
      <t>ブブン</t>
    </rPh>
    <phoneticPr fontId="26"/>
  </si>
  <si>
    <t>壁</t>
    <rPh sb="0" eb="1">
      <t>カベ</t>
    </rPh>
    <phoneticPr fontId="26"/>
  </si>
  <si>
    <t>種類</t>
    <phoneticPr fontId="12"/>
  </si>
  <si>
    <t>断熱材</t>
    <phoneticPr fontId="12"/>
  </si>
  <si>
    <t>外皮基準：断熱仕様</t>
    <phoneticPr fontId="12"/>
  </si>
  <si>
    <t>地域の区分</t>
    <rPh sb="0" eb="2">
      <t>チイキ</t>
    </rPh>
    <rPh sb="3" eb="5">
      <t>クブン</t>
    </rPh>
    <phoneticPr fontId="26"/>
  </si>
  <si>
    <t>建設地</t>
    <phoneticPr fontId="12"/>
  </si>
  <si>
    <t>物件名</t>
    <rPh sb="0" eb="3">
      <t>ブッケンメイ</t>
    </rPh>
    <phoneticPr fontId="26"/>
  </si>
  <si>
    <t>建築士番号</t>
    <phoneticPr fontId="12"/>
  </si>
  <si>
    <t>事務所登録</t>
    <phoneticPr fontId="26"/>
  </si>
  <si>
    <t>会社名</t>
    <phoneticPr fontId="26"/>
  </si>
  <si>
    <t>記入日</t>
    <rPh sb="0" eb="3">
      <t>キニュウビ</t>
    </rPh>
    <phoneticPr fontId="26"/>
  </si>
  <si>
    <t>［mm］</t>
    <phoneticPr fontId="12"/>
  </si>
  <si>
    <t>建築物エネルギー消費性能基準等を定める省令における算出方法等を定める件（国土交通省告示第二百六十五号）（抄）別表第10</t>
    <phoneticPr fontId="35"/>
  </si>
  <si>
    <t>2021/3/5作成</t>
    <rPh sb="8" eb="10">
      <t>サクセイ</t>
    </rPh>
    <phoneticPr fontId="35"/>
  </si>
  <si>
    <t>都道府県名</t>
    <phoneticPr fontId="35"/>
  </si>
  <si>
    <t>市町村</t>
  </si>
  <si>
    <t>計算</t>
    <rPh sb="0" eb="2">
      <t>ケイサン</t>
    </rPh>
    <phoneticPr fontId="35"/>
  </si>
  <si>
    <t>改定後</t>
    <rPh sb="0" eb="2">
      <t>カイテイ</t>
    </rPh>
    <rPh sb="2" eb="3">
      <t>ゴ</t>
    </rPh>
    <phoneticPr fontId="35"/>
  </si>
  <si>
    <t>地域の区分</t>
    <rPh sb="0" eb="2">
      <t>チイキ</t>
    </rPh>
    <rPh sb="3" eb="5">
      <t>クブン</t>
    </rPh>
    <phoneticPr fontId="35"/>
  </si>
  <si>
    <t>北海道</t>
  </si>
  <si>
    <t>愛別町</t>
    <rPh sb="0" eb="3">
      <t>アイベツチョウ</t>
    </rPh>
    <phoneticPr fontId="5"/>
  </si>
  <si>
    <t>アイベツチョウ</t>
  </si>
  <si>
    <t>北海道</t>
    <phoneticPr fontId="35"/>
  </si>
  <si>
    <t>赤井川村</t>
    <rPh sb="0" eb="4">
      <t>アカイガワムラ</t>
    </rPh>
    <phoneticPr fontId="5"/>
  </si>
  <si>
    <t>アカイガワムラ</t>
  </si>
  <si>
    <t>青森県</t>
  </si>
  <si>
    <t>赤平市</t>
    <rPh sb="0" eb="3">
      <t>アカビラシ</t>
    </rPh>
    <phoneticPr fontId="5"/>
  </si>
  <si>
    <t>アカビラシ</t>
  </si>
  <si>
    <t>岩手県</t>
    <phoneticPr fontId="35"/>
  </si>
  <si>
    <t>旭川市</t>
    <rPh sb="0" eb="3">
      <t>アサヒカワシ</t>
    </rPh>
    <phoneticPr fontId="5"/>
  </si>
  <si>
    <t>アサヒカワシ</t>
  </si>
  <si>
    <t>宮城県</t>
    <phoneticPr fontId="35"/>
  </si>
  <si>
    <t>芦別市</t>
    <rPh sb="0" eb="3">
      <t>アシベツシ</t>
    </rPh>
    <phoneticPr fontId="5"/>
  </si>
  <si>
    <t>アシベツシ</t>
  </si>
  <si>
    <t>秋田県</t>
    <phoneticPr fontId="35"/>
  </si>
  <si>
    <t>足寄町</t>
    <rPh sb="0" eb="3">
      <t>アショロチョウ</t>
    </rPh>
    <phoneticPr fontId="5"/>
  </si>
  <si>
    <t>アショロチョウ</t>
  </si>
  <si>
    <t>山形県</t>
    <phoneticPr fontId="35"/>
  </si>
  <si>
    <t>厚岸町</t>
    <rPh sb="0" eb="3">
      <t>アッケシチョウ</t>
    </rPh>
    <phoneticPr fontId="5"/>
  </si>
  <si>
    <t>アッケシチョウ</t>
  </si>
  <si>
    <t>福島県</t>
    <phoneticPr fontId="35"/>
  </si>
  <si>
    <t>厚沢部町</t>
    <rPh sb="0" eb="4">
      <t>アッサブチョウ</t>
    </rPh>
    <phoneticPr fontId="5"/>
  </si>
  <si>
    <t>アッサブチョウ</t>
  </si>
  <si>
    <t>茨城県</t>
    <phoneticPr fontId="35"/>
  </si>
  <si>
    <t>厚真町</t>
    <rPh sb="0" eb="3">
      <t>アツマチョウ</t>
    </rPh>
    <phoneticPr fontId="5"/>
  </si>
  <si>
    <t>アツマチョウ</t>
  </si>
  <si>
    <t>栃木県</t>
    <phoneticPr fontId="35"/>
  </si>
  <si>
    <t>網走市</t>
    <rPh sb="0" eb="3">
      <t>アバシリシ</t>
    </rPh>
    <phoneticPr fontId="5"/>
  </si>
  <si>
    <t>アバシリシ</t>
  </si>
  <si>
    <t>群馬県</t>
    <phoneticPr fontId="35"/>
  </si>
  <si>
    <t>安平町</t>
    <rPh sb="0" eb="3">
      <t>アビラチョウ</t>
    </rPh>
    <phoneticPr fontId="5"/>
  </si>
  <si>
    <t>アビラチョウ</t>
  </si>
  <si>
    <t>埼玉県</t>
    <phoneticPr fontId="35"/>
  </si>
  <si>
    <t>池田町</t>
    <rPh sb="0" eb="3">
      <t>イケダチョウ</t>
    </rPh>
    <phoneticPr fontId="5"/>
  </si>
  <si>
    <t>イケダチョウ</t>
  </si>
  <si>
    <t>千葉県</t>
    <phoneticPr fontId="35"/>
  </si>
  <si>
    <t>石狩市</t>
    <rPh sb="0" eb="3">
      <t>イシカリシ</t>
    </rPh>
    <phoneticPr fontId="5"/>
  </si>
  <si>
    <t>イシカリシ</t>
  </si>
  <si>
    <t>東京都</t>
    <phoneticPr fontId="35"/>
  </si>
  <si>
    <t>今金町</t>
    <rPh sb="0" eb="3">
      <t>イマカネチョウ</t>
    </rPh>
    <phoneticPr fontId="5"/>
  </si>
  <si>
    <t>イマカネチョウ</t>
  </si>
  <si>
    <t>神奈川県</t>
    <phoneticPr fontId="35"/>
  </si>
  <si>
    <t>岩内町</t>
    <rPh sb="0" eb="3">
      <t>イワナイチョウ</t>
    </rPh>
    <phoneticPr fontId="5"/>
  </si>
  <si>
    <t>イワナイチョウ</t>
  </si>
  <si>
    <t>新潟県</t>
    <phoneticPr fontId="35"/>
  </si>
  <si>
    <t>岩見沢市</t>
    <rPh sb="0" eb="4">
      <t>イワミザワシ</t>
    </rPh>
    <phoneticPr fontId="5"/>
  </si>
  <si>
    <t>イワミザワシ</t>
  </si>
  <si>
    <t>富山県</t>
    <phoneticPr fontId="35"/>
  </si>
  <si>
    <t>歌志内市</t>
    <rPh sb="0" eb="4">
      <t>ウタシナイシ</t>
    </rPh>
    <phoneticPr fontId="5"/>
  </si>
  <si>
    <t>ウタシナイシ</t>
  </si>
  <si>
    <t>石川県</t>
    <phoneticPr fontId="35"/>
  </si>
  <si>
    <t>浦臼町</t>
    <rPh sb="0" eb="3">
      <t>ウラウスチョウ</t>
    </rPh>
    <phoneticPr fontId="5"/>
  </si>
  <si>
    <t>ウラウスチョウ</t>
  </si>
  <si>
    <t>福井県</t>
    <phoneticPr fontId="35"/>
  </si>
  <si>
    <t>浦河町</t>
    <rPh sb="0" eb="3">
      <t>ウラカワチョウ</t>
    </rPh>
    <phoneticPr fontId="5"/>
  </si>
  <si>
    <t>ウラカワチョウ</t>
  </si>
  <si>
    <t>山梨県</t>
    <phoneticPr fontId="35"/>
  </si>
  <si>
    <t>浦幌町</t>
    <rPh sb="0" eb="3">
      <t>ウラホロチョウ</t>
    </rPh>
    <phoneticPr fontId="5"/>
  </si>
  <si>
    <t>ウラホロチョウ</t>
  </si>
  <si>
    <t>長野県</t>
    <phoneticPr fontId="35"/>
  </si>
  <si>
    <t>雨竜町</t>
    <rPh sb="0" eb="2">
      <t>ウリュウ</t>
    </rPh>
    <rPh sb="2" eb="3">
      <t>チョウ</t>
    </rPh>
    <phoneticPr fontId="5"/>
  </si>
  <si>
    <t>ウリュウチョウ</t>
  </si>
  <si>
    <t>岐阜県</t>
    <phoneticPr fontId="35"/>
  </si>
  <si>
    <t>江差町</t>
    <rPh sb="0" eb="3">
      <t>エサシチョウ</t>
    </rPh>
    <phoneticPr fontId="5"/>
  </si>
  <si>
    <t>エサシチョウ</t>
  </si>
  <si>
    <t>静岡県</t>
    <phoneticPr fontId="35"/>
  </si>
  <si>
    <t>枝幸町（旧歌登町に限る。）</t>
    <rPh sb="0" eb="3">
      <t>エサシチョウ</t>
    </rPh>
    <rPh sb="4" eb="5">
      <t>キュウ</t>
    </rPh>
    <rPh sb="5" eb="8">
      <t>ウタノボリチョウ</t>
    </rPh>
    <rPh sb="9" eb="10">
      <t>カギ</t>
    </rPh>
    <phoneticPr fontId="5"/>
  </si>
  <si>
    <t>エサシチョウ（キュウウタノボリチョウニカギル。）</t>
  </si>
  <si>
    <t>愛知県</t>
    <phoneticPr fontId="35"/>
  </si>
  <si>
    <t>枝幸町（旧枝幸町に限る。）</t>
    <rPh sb="0" eb="3">
      <t>エサシチョウ</t>
    </rPh>
    <rPh sb="4" eb="5">
      <t>キュウ</t>
    </rPh>
    <rPh sb="5" eb="8">
      <t>エサシチョウ</t>
    </rPh>
    <rPh sb="9" eb="10">
      <t>カギ</t>
    </rPh>
    <phoneticPr fontId="5"/>
  </si>
  <si>
    <t>エサシチョウ（キュウエサシチョウニカギル。）</t>
  </si>
  <si>
    <t>三重県</t>
    <phoneticPr fontId="35"/>
  </si>
  <si>
    <t>恵庭市</t>
    <rPh sb="0" eb="3">
      <t>エニワシ</t>
    </rPh>
    <phoneticPr fontId="5"/>
  </si>
  <si>
    <t>エニワシ</t>
  </si>
  <si>
    <t>滋賀県</t>
    <phoneticPr fontId="35"/>
  </si>
  <si>
    <t>江別市</t>
    <rPh sb="0" eb="3">
      <t>エベツシ</t>
    </rPh>
    <phoneticPr fontId="5"/>
  </si>
  <si>
    <t>エベツシ</t>
  </si>
  <si>
    <t>京都府</t>
    <phoneticPr fontId="35"/>
  </si>
  <si>
    <t>えりも町</t>
    <rPh sb="3" eb="4">
      <t>チョウ</t>
    </rPh>
    <phoneticPr fontId="5"/>
  </si>
  <si>
    <t>エリモチョウ</t>
  </si>
  <si>
    <t>大阪府</t>
    <phoneticPr fontId="35"/>
  </si>
  <si>
    <t>遠軽町</t>
    <rPh sb="0" eb="3">
      <t>エンガルチョウ</t>
    </rPh>
    <phoneticPr fontId="5"/>
  </si>
  <si>
    <t>エンガルチョウ</t>
  </si>
  <si>
    <t>兵庫県</t>
    <phoneticPr fontId="35"/>
  </si>
  <si>
    <t>遠別町</t>
    <rPh sb="0" eb="3">
      <t>エンベツチョウ</t>
    </rPh>
    <phoneticPr fontId="5"/>
  </si>
  <si>
    <t>エンベツチョウ</t>
  </si>
  <si>
    <t>奈良県</t>
    <phoneticPr fontId="35"/>
  </si>
  <si>
    <t>雄武町</t>
    <rPh sb="0" eb="3">
      <t>オウムチョウ</t>
    </rPh>
    <phoneticPr fontId="5"/>
  </si>
  <si>
    <t>オウムチョウ</t>
  </si>
  <si>
    <t>和歌山県</t>
    <phoneticPr fontId="35"/>
  </si>
  <si>
    <t>大空町</t>
    <rPh sb="0" eb="3">
      <t>オオゾラチョウ</t>
    </rPh>
    <phoneticPr fontId="5"/>
  </si>
  <si>
    <t>オオゾラチョウ</t>
  </si>
  <si>
    <t>鳥取県</t>
    <phoneticPr fontId="35"/>
  </si>
  <si>
    <t>奥尻町</t>
    <rPh sb="0" eb="3">
      <t>オクシリチョウ</t>
    </rPh>
    <phoneticPr fontId="5"/>
  </si>
  <si>
    <t>オクシリチョウ</t>
  </si>
  <si>
    <t>島根県</t>
  </si>
  <si>
    <t>置戸町</t>
    <rPh sb="0" eb="3">
      <t>オケトチョウ</t>
    </rPh>
    <phoneticPr fontId="5"/>
  </si>
  <si>
    <t>オケトチョウ</t>
  </si>
  <si>
    <t>岡山県</t>
    <phoneticPr fontId="35"/>
  </si>
  <si>
    <t>興部町</t>
    <rPh sb="0" eb="3">
      <t>オコッペチョウ</t>
    </rPh>
    <phoneticPr fontId="5"/>
  </si>
  <si>
    <t>オコッペチョウ</t>
  </si>
  <si>
    <t>広島県</t>
    <phoneticPr fontId="35"/>
  </si>
  <si>
    <t>長万部町</t>
    <rPh sb="0" eb="4">
      <t>オシャマンベチョウ</t>
    </rPh>
    <phoneticPr fontId="5"/>
  </si>
  <si>
    <t>オシャマンベチョウ</t>
  </si>
  <si>
    <t>山口県</t>
    <phoneticPr fontId="35"/>
  </si>
  <si>
    <t>小樽市</t>
    <rPh sb="0" eb="3">
      <t>オタルシ</t>
    </rPh>
    <phoneticPr fontId="5"/>
  </si>
  <si>
    <t>オタルシ</t>
  </si>
  <si>
    <t>徳島県</t>
    <phoneticPr fontId="35"/>
  </si>
  <si>
    <t>音威子府村</t>
    <rPh sb="0" eb="5">
      <t>オトイネップムラ</t>
    </rPh>
    <phoneticPr fontId="5"/>
  </si>
  <si>
    <t>オトイネップムラ</t>
  </si>
  <si>
    <t>香川県</t>
    <phoneticPr fontId="35"/>
  </si>
  <si>
    <t>音更町</t>
    <rPh sb="0" eb="3">
      <t>オトフケチョウ</t>
    </rPh>
    <phoneticPr fontId="5"/>
  </si>
  <si>
    <t>オトフケチョウ</t>
  </si>
  <si>
    <t>愛媛県</t>
    <phoneticPr fontId="35"/>
  </si>
  <si>
    <t>乙部町</t>
    <rPh sb="0" eb="3">
      <t>オトベチョウ</t>
    </rPh>
    <phoneticPr fontId="5"/>
  </si>
  <si>
    <t>オトベチョウ</t>
  </si>
  <si>
    <t>高知県</t>
    <phoneticPr fontId="35"/>
  </si>
  <si>
    <t>帯広市</t>
    <rPh sb="0" eb="3">
      <t>オビヒロシ</t>
    </rPh>
    <phoneticPr fontId="5"/>
  </si>
  <si>
    <t>オビヒロシ</t>
  </si>
  <si>
    <t>福岡県</t>
    <phoneticPr fontId="35"/>
  </si>
  <si>
    <t>小平町</t>
    <rPh sb="0" eb="3">
      <t>オビラチョウ</t>
    </rPh>
    <phoneticPr fontId="5"/>
  </si>
  <si>
    <t>オビラチョウ</t>
  </si>
  <si>
    <t>佐賀県</t>
    <phoneticPr fontId="35"/>
  </si>
  <si>
    <t>上川町</t>
    <rPh sb="0" eb="2">
      <t>カミカワ</t>
    </rPh>
    <rPh sb="2" eb="3">
      <t>チョウ</t>
    </rPh>
    <phoneticPr fontId="5"/>
  </si>
  <si>
    <t>カミカワチョウ</t>
  </si>
  <si>
    <t>長崎県</t>
    <phoneticPr fontId="35"/>
  </si>
  <si>
    <t>上士幌町</t>
    <rPh sb="0" eb="4">
      <t>カミシホロチョウ</t>
    </rPh>
    <phoneticPr fontId="5"/>
  </si>
  <si>
    <t>カミシホロチョウ</t>
  </si>
  <si>
    <t>熊本県</t>
    <phoneticPr fontId="35"/>
  </si>
  <si>
    <t>上砂川町</t>
    <rPh sb="0" eb="4">
      <t>カミスナガワチョウ</t>
    </rPh>
    <phoneticPr fontId="5"/>
  </si>
  <si>
    <t>カミスナガワチョウ</t>
  </si>
  <si>
    <t>大分県</t>
    <phoneticPr fontId="35"/>
  </si>
  <si>
    <t>上ノ国町</t>
    <rPh sb="0" eb="1">
      <t>カミ</t>
    </rPh>
    <rPh sb="2" eb="4">
      <t>クニチョウ</t>
    </rPh>
    <phoneticPr fontId="5"/>
  </si>
  <si>
    <t>カミノクニチョウ</t>
  </si>
  <si>
    <t>宮崎県</t>
    <phoneticPr fontId="35"/>
  </si>
  <si>
    <t>上富良野町</t>
    <rPh sb="0" eb="5">
      <t>カミフラノチョウ</t>
    </rPh>
    <phoneticPr fontId="5"/>
  </si>
  <si>
    <t>カミフラノチョウ</t>
  </si>
  <si>
    <t>鹿児島県</t>
    <phoneticPr fontId="35"/>
  </si>
  <si>
    <t>神恵内村</t>
    <rPh sb="0" eb="4">
      <t>カモエナイムラ</t>
    </rPh>
    <phoneticPr fontId="5"/>
  </si>
  <si>
    <t>カモエナイムラ</t>
  </si>
  <si>
    <t>沖縄県</t>
    <phoneticPr fontId="35"/>
  </si>
  <si>
    <t>木古内町</t>
    <rPh sb="0" eb="4">
      <t>キコナイチョウ</t>
    </rPh>
    <phoneticPr fontId="5"/>
  </si>
  <si>
    <t>キコナイチョウ</t>
  </si>
  <si>
    <t>北広島市</t>
    <rPh sb="0" eb="4">
      <t>キタヒロシマシ</t>
    </rPh>
    <phoneticPr fontId="5"/>
  </si>
  <si>
    <t>キタヒロシマシ</t>
  </si>
  <si>
    <t>北見市</t>
    <rPh sb="0" eb="3">
      <t>キタミシ</t>
    </rPh>
    <phoneticPr fontId="5"/>
  </si>
  <si>
    <t>キタミシ</t>
  </si>
  <si>
    <t>喜茂別町</t>
    <rPh sb="0" eb="4">
      <t>キモベツチョウ</t>
    </rPh>
    <phoneticPr fontId="5"/>
  </si>
  <si>
    <t>キモベツチョウ</t>
  </si>
  <si>
    <t>京極町</t>
    <rPh sb="0" eb="3">
      <t>キョウゴクチョウ</t>
    </rPh>
    <phoneticPr fontId="5"/>
  </si>
  <si>
    <t>キョウゴクチョウ</t>
  </si>
  <si>
    <t>共和町</t>
    <rPh sb="0" eb="3">
      <t>キョウワチョウ</t>
    </rPh>
    <phoneticPr fontId="5"/>
  </si>
  <si>
    <t>キョウワチョウ</t>
  </si>
  <si>
    <t>清里町</t>
    <rPh sb="0" eb="3">
      <t>キヨサトチョウ</t>
    </rPh>
    <phoneticPr fontId="5"/>
  </si>
  <si>
    <t>キヨサトチョウ</t>
  </si>
  <si>
    <t>釧路市</t>
    <rPh sb="0" eb="3">
      <t>クシロシ</t>
    </rPh>
    <phoneticPr fontId="5"/>
  </si>
  <si>
    <t>クシロシ</t>
  </si>
  <si>
    <t>釧路町</t>
    <rPh sb="0" eb="2">
      <t>クシロ</t>
    </rPh>
    <rPh sb="2" eb="3">
      <t>チョウ</t>
    </rPh>
    <phoneticPr fontId="5"/>
  </si>
  <si>
    <t>クシロチョウ</t>
  </si>
  <si>
    <t>倶知安町</t>
    <rPh sb="0" eb="4">
      <t>クッチャンチョウ</t>
    </rPh>
    <phoneticPr fontId="5"/>
  </si>
  <si>
    <t>クッチャンチョウ</t>
  </si>
  <si>
    <t>栗山町</t>
    <rPh sb="0" eb="3">
      <t>クリヤマチョウ</t>
    </rPh>
    <phoneticPr fontId="5"/>
  </si>
  <si>
    <t>クリヤマチョウ</t>
  </si>
  <si>
    <t>黒松内町</t>
    <rPh sb="0" eb="4">
      <t>クロマツナイチョウ</t>
    </rPh>
    <phoneticPr fontId="5"/>
  </si>
  <si>
    <t>クロマツナイチョウ</t>
  </si>
  <si>
    <t>訓子府町</t>
    <rPh sb="0" eb="4">
      <t>クンネップチョウ</t>
    </rPh>
    <phoneticPr fontId="5"/>
  </si>
  <si>
    <t>クンネップチョウ</t>
  </si>
  <si>
    <t>剣淵町</t>
    <rPh sb="0" eb="3">
      <t>ケンブチチョウ</t>
    </rPh>
    <phoneticPr fontId="5"/>
  </si>
  <si>
    <t>ケンブチチョウ</t>
  </si>
  <si>
    <t>小清水町</t>
    <rPh sb="0" eb="4">
      <t>コシミズチョウ</t>
    </rPh>
    <phoneticPr fontId="5"/>
  </si>
  <si>
    <t>コシミズチョウ</t>
  </si>
  <si>
    <t>札幌市</t>
    <rPh sb="0" eb="3">
      <t>サッポロシ</t>
    </rPh>
    <phoneticPr fontId="5"/>
  </si>
  <si>
    <t>サッポロシ</t>
  </si>
  <si>
    <t>様似町</t>
    <rPh sb="0" eb="3">
      <t>サマニチョウ</t>
    </rPh>
    <phoneticPr fontId="5"/>
  </si>
  <si>
    <t>サマニチョウ</t>
  </si>
  <si>
    <t>更別村</t>
    <rPh sb="0" eb="3">
      <t>サラベツムラ</t>
    </rPh>
    <phoneticPr fontId="5"/>
  </si>
  <si>
    <t>サラベツムラ</t>
  </si>
  <si>
    <t>猿払村</t>
    <rPh sb="0" eb="3">
      <t>サルフツムラ</t>
    </rPh>
    <phoneticPr fontId="5"/>
  </si>
  <si>
    <t>サルフツムラ</t>
  </si>
  <si>
    <t>佐呂間町</t>
    <rPh sb="0" eb="4">
      <t>サロマチョウ</t>
    </rPh>
    <phoneticPr fontId="5"/>
  </si>
  <si>
    <t>サロマチョウ</t>
  </si>
  <si>
    <t>鹿追町</t>
    <rPh sb="0" eb="3">
      <t>シカオイチョウ</t>
    </rPh>
    <phoneticPr fontId="5"/>
  </si>
  <si>
    <t>シカオイチョウ</t>
  </si>
  <si>
    <t>鹿部町</t>
    <rPh sb="0" eb="3">
      <t>シカベチョウ</t>
    </rPh>
    <phoneticPr fontId="5"/>
  </si>
  <si>
    <t>シカベチョウ</t>
  </si>
  <si>
    <t>標茶町</t>
    <rPh sb="0" eb="3">
      <t>シベチャチョウ</t>
    </rPh>
    <phoneticPr fontId="5"/>
  </si>
  <si>
    <t>シベチャチョウ</t>
  </si>
  <si>
    <t>士別市</t>
    <rPh sb="0" eb="3">
      <t>シベツシ</t>
    </rPh>
    <phoneticPr fontId="5"/>
  </si>
  <si>
    <t>シベツシ</t>
  </si>
  <si>
    <t>標津町</t>
    <rPh sb="0" eb="3">
      <t>シベツチョウ</t>
    </rPh>
    <phoneticPr fontId="5"/>
  </si>
  <si>
    <t>シベツチョウ</t>
  </si>
  <si>
    <t>士幌町</t>
    <rPh sb="0" eb="3">
      <t>シホロチョウ</t>
    </rPh>
    <phoneticPr fontId="5"/>
  </si>
  <si>
    <t>シホロチョウ</t>
  </si>
  <si>
    <t>島牧村</t>
    <rPh sb="0" eb="3">
      <t>シママキムラ</t>
    </rPh>
    <phoneticPr fontId="5"/>
  </si>
  <si>
    <t>シママキムラ</t>
  </si>
  <si>
    <t>清水町</t>
    <rPh sb="0" eb="2">
      <t>シミズ</t>
    </rPh>
    <rPh sb="2" eb="3">
      <t>チョウ</t>
    </rPh>
    <phoneticPr fontId="5"/>
  </si>
  <si>
    <t>シミズチョウ</t>
  </si>
  <si>
    <t>占冠村</t>
    <rPh sb="0" eb="3">
      <t>シムカップムラ</t>
    </rPh>
    <phoneticPr fontId="5"/>
  </si>
  <si>
    <t>シムカップムラ</t>
  </si>
  <si>
    <t>下川町</t>
    <rPh sb="0" eb="3">
      <t>シモカワチョウ</t>
    </rPh>
    <phoneticPr fontId="5"/>
  </si>
  <si>
    <t>シモカワチョウ</t>
  </si>
  <si>
    <t>積丹町</t>
    <rPh sb="0" eb="3">
      <t>シャコタンチョウ</t>
    </rPh>
    <phoneticPr fontId="5"/>
  </si>
  <si>
    <t>シャコタンチョウ</t>
  </si>
  <si>
    <t>斜里町</t>
    <rPh sb="0" eb="3">
      <t>シャリチョウ</t>
    </rPh>
    <phoneticPr fontId="5"/>
  </si>
  <si>
    <t>シャリチョウ</t>
  </si>
  <si>
    <t>初山別村</t>
    <rPh sb="0" eb="4">
      <t>ショサンベツムラ</t>
    </rPh>
    <phoneticPr fontId="5"/>
  </si>
  <si>
    <t>ショサンベツムラ</t>
  </si>
  <si>
    <t>白老町</t>
    <rPh sb="0" eb="3">
      <t>シラオイチョウ</t>
    </rPh>
    <phoneticPr fontId="5"/>
  </si>
  <si>
    <t>シラオイチョウ</t>
  </si>
  <si>
    <t>白糠町</t>
    <rPh sb="0" eb="3">
      <t>シラヌカチョウ</t>
    </rPh>
    <phoneticPr fontId="5"/>
  </si>
  <si>
    <t>シラヌカチョウ</t>
  </si>
  <si>
    <t>知内町</t>
    <rPh sb="0" eb="3">
      <t>シリウチチョウ</t>
    </rPh>
    <phoneticPr fontId="5"/>
  </si>
  <si>
    <t>シリウチチョウ</t>
  </si>
  <si>
    <t>新篠津村</t>
    <rPh sb="0" eb="4">
      <t>シンシノツムラ</t>
    </rPh>
    <phoneticPr fontId="5"/>
  </si>
  <si>
    <t>シンシノツムラ</t>
  </si>
  <si>
    <t>新得町</t>
    <rPh sb="0" eb="3">
      <t>シントクチョウ</t>
    </rPh>
    <phoneticPr fontId="5"/>
  </si>
  <si>
    <t>シントクチョウ</t>
  </si>
  <si>
    <t>新十津川町</t>
    <rPh sb="0" eb="5">
      <t>シントツカワチョウ</t>
    </rPh>
    <phoneticPr fontId="5"/>
  </si>
  <si>
    <t>シントツカワチョウ</t>
  </si>
  <si>
    <t>新ひだか町</t>
    <rPh sb="0" eb="1">
      <t>シン</t>
    </rPh>
    <rPh sb="4" eb="5">
      <t>チョウ</t>
    </rPh>
    <phoneticPr fontId="5"/>
  </si>
  <si>
    <t>シンヒダカチョウ</t>
  </si>
  <si>
    <t>寿都町</t>
    <rPh sb="0" eb="3">
      <t>スッツチョウ</t>
    </rPh>
    <phoneticPr fontId="5"/>
  </si>
  <si>
    <t>スッツチョウ</t>
  </si>
  <si>
    <t>砂川市</t>
    <rPh sb="0" eb="2">
      <t>スナガワ</t>
    </rPh>
    <rPh sb="2" eb="3">
      <t>シ</t>
    </rPh>
    <phoneticPr fontId="5"/>
  </si>
  <si>
    <t>スナガワシ</t>
  </si>
  <si>
    <t>せたな町</t>
    <rPh sb="3" eb="4">
      <t>チョウ</t>
    </rPh>
    <phoneticPr fontId="5"/>
  </si>
  <si>
    <t>セタナチョウ</t>
  </si>
  <si>
    <t>壮瞥町</t>
    <rPh sb="0" eb="3">
      <t>ソウベツチョウ</t>
    </rPh>
    <phoneticPr fontId="5"/>
  </si>
  <si>
    <t>ソウベツチョウ</t>
  </si>
  <si>
    <t>大樹町</t>
    <rPh sb="0" eb="3">
      <t>タイキチョウ</t>
    </rPh>
    <phoneticPr fontId="5"/>
  </si>
  <si>
    <t>タイキチョウ</t>
  </si>
  <si>
    <t>当麻町</t>
    <rPh sb="0" eb="2">
      <t>タイマ</t>
    </rPh>
    <rPh sb="2" eb="3">
      <t>チョウ</t>
    </rPh>
    <phoneticPr fontId="5"/>
  </si>
  <si>
    <t>タイマチョウ</t>
  </si>
  <si>
    <t>鷹栖町</t>
    <rPh sb="0" eb="3">
      <t>タカスチョウ</t>
    </rPh>
    <phoneticPr fontId="5"/>
  </si>
  <si>
    <t>タカスチョウ</t>
  </si>
  <si>
    <t>滝川市</t>
    <rPh sb="0" eb="3">
      <t>タキカワシ</t>
    </rPh>
    <phoneticPr fontId="5"/>
  </si>
  <si>
    <t>タキカワシ</t>
  </si>
  <si>
    <t>滝上町</t>
    <rPh sb="0" eb="3">
      <t>タキノウエチョウ</t>
    </rPh>
    <phoneticPr fontId="5"/>
  </si>
  <si>
    <t>タキノウエチョウ</t>
  </si>
  <si>
    <t>伊達市(旧大滝村に限る。)</t>
    <rPh sb="0" eb="3">
      <t>ダテシ</t>
    </rPh>
    <rPh sb="4" eb="5">
      <t>キュウ</t>
    </rPh>
    <rPh sb="5" eb="7">
      <t>オオタキ</t>
    </rPh>
    <rPh sb="7" eb="8">
      <t>ムラ</t>
    </rPh>
    <rPh sb="9" eb="10">
      <t>カギ</t>
    </rPh>
    <phoneticPr fontId="5"/>
  </si>
  <si>
    <t>ダテシ(キュウオオタキムラニカギル。)</t>
  </si>
  <si>
    <t>伊達市(旧伊達市に限る。)</t>
    <rPh sb="0" eb="3">
      <t>ダテシ</t>
    </rPh>
    <rPh sb="4" eb="5">
      <t>キュウ</t>
    </rPh>
    <rPh sb="5" eb="8">
      <t>ダテシ</t>
    </rPh>
    <rPh sb="9" eb="10">
      <t>カギ</t>
    </rPh>
    <phoneticPr fontId="5"/>
  </si>
  <si>
    <t>ダテシ(キュウダテシニカギル。)</t>
  </si>
  <si>
    <t>秩父別町</t>
    <rPh sb="0" eb="4">
      <t>チップベツチョウ</t>
    </rPh>
    <phoneticPr fontId="5"/>
  </si>
  <si>
    <t>チップベツチョウ</t>
  </si>
  <si>
    <t>千歳市</t>
    <rPh sb="0" eb="3">
      <t>チトセシ</t>
    </rPh>
    <phoneticPr fontId="5"/>
  </si>
  <si>
    <t>チトセシ</t>
  </si>
  <si>
    <t>月形町</t>
    <rPh sb="0" eb="3">
      <t>ツキガタチョウ</t>
    </rPh>
    <phoneticPr fontId="5"/>
  </si>
  <si>
    <t>ツキガタチョウ</t>
  </si>
  <si>
    <t>津別町</t>
    <rPh sb="0" eb="3">
      <t>ツベツチョウ</t>
    </rPh>
    <phoneticPr fontId="5"/>
  </si>
  <si>
    <t>ツベツチョウ</t>
  </si>
  <si>
    <t>鶴居村</t>
    <rPh sb="0" eb="3">
      <t>ツルイムラ</t>
    </rPh>
    <phoneticPr fontId="5"/>
  </si>
  <si>
    <t>ツルイムラ</t>
  </si>
  <si>
    <t>天塩町</t>
    <rPh sb="0" eb="2">
      <t>テシオ</t>
    </rPh>
    <rPh sb="2" eb="3">
      <t>チョウ</t>
    </rPh>
    <phoneticPr fontId="5"/>
  </si>
  <si>
    <t>テシオチョウ</t>
  </si>
  <si>
    <t>弟子屈町</t>
    <rPh sb="0" eb="4">
      <t>テシカガチョウ</t>
    </rPh>
    <phoneticPr fontId="5"/>
  </si>
  <si>
    <t>テシカガチョウ</t>
  </si>
  <si>
    <t>当別町</t>
    <rPh sb="0" eb="3">
      <t>トウベツチョウ</t>
    </rPh>
    <phoneticPr fontId="5"/>
  </si>
  <si>
    <t>トウベツチョウ</t>
  </si>
  <si>
    <t>洞爺湖町</t>
    <rPh sb="0" eb="3">
      <t>トウヤコ</t>
    </rPh>
    <rPh sb="3" eb="4">
      <t>チョウ</t>
    </rPh>
    <phoneticPr fontId="5"/>
  </si>
  <si>
    <t>トウヤコチョウ</t>
  </si>
  <si>
    <t>苫小牧市</t>
    <rPh sb="0" eb="4">
      <t>トマコマイシ</t>
    </rPh>
    <phoneticPr fontId="5"/>
  </si>
  <si>
    <t>トマコマイシ</t>
  </si>
  <si>
    <t>苫前町</t>
    <rPh sb="0" eb="3">
      <t>トママエチョウ</t>
    </rPh>
    <phoneticPr fontId="5"/>
  </si>
  <si>
    <t>トママエチョウ</t>
  </si>
  <si>
    <t>泊村</t>
    <rPh sb="0" eb="2">
      <t>トマリムラ</t>
    </rPh>
    <phoneticPr fontId="5"/>
  </si>
  <si>
    <t>トマリムラ</t>
  </si>
  <si>
    <t>豊浦町</t>
    <rPh sb="0" eb="3">
      <t>トヨウラチョウ</t>
    </rPh>
    <phoneticPr fontId="5"/>
  </si>
  <si>
    <t>トヨウラチョウ</t>
  </si>
  <si>
    <t>豊頃町</t>
    <rPh sb="0" eb="3">
      <t>トヨコロチョウ</t>
    </rPh>
    <phoneticPr fontId="5"/>
  </si>
  <si>
    <t>トヨコロチョウ</t>
  </si>
  <si>
    <t>豊富町</t>
    <rPh sb="0" eb="3">
      <t>トヨトミチョウ</t>
    </rPh>
    <phoneticPr fontId="5"/>
  </si>
  <si>
    <t>トヨトミチョウ</t>
  </si>
  <si>
    <t>奈井江町</t>
    <rPh sb="0" eb="4">
      <t>ナイエチョウ</t>
    </rPh>
    <phoneticPr fontId="5"/>
  </si>
  <si>
    <t>ナイエチョウ</t>
  </si>
  <si>
    <t>中川町</t>
    <rPh sb="0" eb="2">
      <t>ナカガワ</t>
    </rPh>
    <rPh sb="2" eb="3">
      <t>チョウ</t>
    </rPh>
    <phoneticPr fontId="5"/>
  </si>
  <si>
    <t>ナカガワチョウ</t>
  </si>
  <si>
    <t>中札内村</t>
    <rPh sb="0" eb="4">
      <t>ナカサツナイムラ</t>
    </rPh>
    <phoneticPr fontId="5"/>
  </si>
  <si>
    <t>ナカサツナイムラ</t>
  </si>
  <si>
    <t>中標津町</t>
    <rPh sb="0" eb="4">
      <t>ナカシベツチョウ</t>
    </rPh>
    <phoneticPr fontId="5"/>
  </si>
  <si>
    <t>ナカシベツチョウ</t>
  </si>
  <si>
    <t>中頓別町</t>
    <rPh sb="0" eb="4">
      <t>ナカトンベツチョウ</t>
    </rPh>
    <phoneticPr fontId="5"/>
  </si>
  <si>
    <t>ナカトンベツチョウ</t>
  </si>
  <si>
    <t>長沼町</t>
    <rPh sb="0" eb="3">
      <t>ナガヌマチョウ</t>
    </rPh>
    <phoneticPr fontId="5"/>
  </si>
  <si>
    <t>ナガヌマチョウ</t>
  </si>
  <si>
    <t>中富良野町</t>
    <rPh sb="0" eb="5">
      <t>ナカフラノチョウ</t>
    </rPh>
    <phoneticPr fontId="5"/>
  </si>
  <si>
    <t>ナカフラノチョウ</t>
  </si>
  <si>
    <t>七飯町</t>
    <rPh sb="0" eb="3">
      <t>ナナエチョウ</t>
    </rPh>
    <phoneticPr fontId="5"/>
  </si>
  <si>
    <t>ナナエチョウ</t>
  </si>
  <si>
    <t>名寄市</t>
    <rPh sb="0" eb="3">
      <t>ナヨロシ</t>
    </rPh>
    <phoneticPr fontId="5"/>
  </si>
  <si>
    <t>ナヨロシ</t>
  </si>
  <si>
    <t>南幌町</t>
    <rPh sb="0" eb="3">
      <t>ナンポロチョウ</t>
    </rPh>
    <phoneticPr fontId="5"/>
  </si>
  <si>
    <t>ナンポロチョウ</t>
  </si>
  <si>
    <t>新冠町</t>
    <rPh sb="0" eb="3">
      <t>ニイカップチョウ</t>
    </rPh>
    <phoneticPr fontId="5"/>
  </si>
  <si>
    <t>ニイカップチョウ</t>
  </si>
  <si>
    <t>仁木町</t>
    <rPh sb="0" eb="3">
      <t>ニキチョウ</t>
    </rPh>
    <phoneticPr fontId="5"/>
  </si>
  <si>
    <t>ニキチョウ</t>
  </si>
  <si>
    <t>西興部村</t>
    <rPh sb="0" eb="4">
      <t>ニシオコッペムラ</t>
    </rPh>
    <phoneticPr fontId="5"/>
  </si>
  <si>
    <t>ニシオコッペムラ</t>
  </si>
  <si>
    <t>ニセコ町</t>
    <rPh sb="3" eb="4">
      <t>チョウ</t>
    </rPh>
    <phoneticPr fontId="5"/>
  </si>
  <si>
    <t>ニセコチョウ</t>
  </si>
  <si>
    <t>沼田町</t>
    <rPh sb="0" eb="3">
      <t>ヌマタチョウ</t>
    </rPh>
    <phoneticPr fontId="5"/>
  </si>
  <si>
    <t>ヌマタチョウ</t>
  </si>
  <si>
    <t>根室市</t>
    <rPh sb="0" eb="3">
      <t>ネムロシ</t>
    </rPh>
    <phoneticPr fontId="5"/>
  </si>
  <si>
    <t>ネムロシ</t>
  </si>
  <si>
    <t>登別市</t>
    <rPh sb="0" eb="3">
      <t>ノボリベツシ</t>
    </rPh>
    <phoneticPr fontId="5"/>
  </si>
  <si>
    <t>ノボリベツシ</t>
  </si>
  <si>
    <t>函館市</t>
    <rPh sb="0" eb="3">
      <t>ハコダテシ</t>
    </rPh>
    <phoneticPr fontId="5"/>
  </si>
  <si>
    <t>ハコダテシ</t>
  </si>
  <si>
    <t>羽幌町</t>
    <rPh sb="0" eb="3">
      <t>ハボロチョウ</t>
    </rPh>
    <phoneticPr fontId="5"/>
  </si>
  <si>
    <t>ハボロチョウ</t>
  </si>
  <si>
    <t>浜頓別町</t>
    <rPh sb="0" eb="4">
      <t>ハマトンベツチョウ</t>
    </rPh>
    <phoneticPr fontId="5"/>
  </si>
  <si>
    <t>ハマトンベツチョウ</t>
  </si>
  <si>
    <t>浜中町</t>
    <rPh sb="0" eb="3">
      <t>ハマナカチョウ</t>
    </rPh>
    <phoneticPr fontId="5"/>
  </si>
  <si>
    <t>ハマナカチョウ</t>
  </si>
  <si>
    <t>美瑛町</t>
    <rPh sb="0" eb="3">
      <t>ビエイチョウ</t>
    </rPh>
    <phoneticPr fontId="5"/>
  </si>
  <si>
    <t>ビエイチョウ</t>
  </si>
  <si>
    <t>東神楽町</t>
    <rPh sb="0" eb="1">
      <t>ヒガシ</t>
    </rPh>
    <rPh sb="1" eb="4">
      <t>カグラチョウ</t>
    </rPh>
    <phoneticPr fontId="5"/>
  </si>
  <si>
    <t>ヒガシカグラチョウ</t>
  </si>
  <si>
    <t>東川町</t>
    <rPh sb="0" eb="3">
      <t>ヒガシカワチョウ</t>
    </rPh>
    <phoneticPr fontId="5"/>
  </si>
  <si>
    <t>ヒガシカワチョウ</t>
  </si>
  <si>
    <t>日高町</t>
    <rPh sb="0" eb="3">
      <t>ヒダカチョウ</t>
    </rPh>
    <phoneticPr fontId="5"/>
  </si>
  <si>
    <t>ヒダカチョウ</t>
  </si>
  <si>
    <t>比布町</t>
    <rPh sb="0" eb="3">
      <t>ピップチョウ</t>
    </rPh>
    <phoneticPr fontId="5"/>
  </si>
  <si>
    <t>ピップチョウ</t>
  </si>
  <si>
    <t>美唄市</t>
    <rPh sb="0" eb="3">
      <t>ビバイシ</t>
    </rPh>
    <phoneticPr fontId="5"/>
  </si>
  <si>
    <t>ビバイシ</t>
  </si>
  <si>
    <t>美深町</t>
    <rPh sb="0" eb="3">
      <t>ビフカチョウ</t>
    </rPh>
    <phoneticPr fontId="5"/>
  </si>
  <si>
    <t>ビフカチョウ</t>
  </si>
  <si>
    <t>美幌町</t>
    <rPh sb="0" eb="3">
      <t>ビホロチョウ</t>
    </rPh>
    <phoneticPr fontId="5"/>
  </si>
  <si>
    <t>ビホロチョウ</t>
  </si>
  <si>
    <t>平取町</t>
    <rPh sb="0" eb="3">
      <t>ビラトリチョウ</t>
    </rPh>
    <phoneticPr fontId="5"/>
  </si>
  <si>
    <t>ビラトリチョウ</t>
  </si>
  <si>
    <t>広尾町</t>
    <rPh sb="0" eb="3">
      <t>ヒロオチョウ</t>
    </rPh>
    <phoneticPr fontId="5"/>
  </si>
  <si>
    <t>ヒロオチョウ</t>
  </si>
  <si>
    <t>深川市</t>
    <rPh sb="0" eb="3">
      <t>フカガワシ</t>
    </rPh>
    <phoneticPr fontId="5"/>
  </si>
  <si>
    <t>フカガワシ</t>
  </si>
  <si>
    <t>福島町</t>
    <rPh sb="0" eb="3">
      <t>フクシマチョウ</t>
    </rPh>
    <phoneticPr fontId="5"/>
  </si>
  <si>
    <t>フクシマチョウ</t>
  </si>
  <si>
    <t>富良野市</t>
    <rPh sb="0" eb="4">
      <t>フラノシ</t>
    </rPh>
    <phoneticPr fontId="5"/>
  </si>
  <si>
    <t>フラノシ</t>
  </si>
  <si>
    <t>古平町</t>
    <rPh sb="0" eb="3">
      <t>フルビラチョウ</t>
    </rPh>
    <phoneticPr fontId="5"/>
  </si>
  <si>
    <t>フルビラチョウ</t>
  </si>
  <si>
    <t>別海町</t>
    <rPh sb="0" eb="3">
      <t>ベッカイチョウ</t>
    </rPh>
    <phoneticPr fontId="5"/>
  </si>
  <si>
    <t>ベッカイチョウ</t>
  </si>
  <si>
    <t>北斗市</t>
    <rPh sb="0" eb="3">
      <t>ホクトシ</t>
    </rPh>
    <phoneticPr fontId="5"/>
  </si>
  <si>
    <t>ホクトシ</t>
  </si>
  <si>
    <t>北竜町</t>
    <rPh sb="0" eb="3">
      <t>ホクリュウチョウ</t>
    </rPh>
    <phoneticPr fontId="5"/>
  </si>
  <si>
    <t>ホクリュウチョウ</t>
  </si>
  <si>
    <t>幌加内町</t>
    <rPh sb="0" eb="4">
      <t>ホロカナイチョウ</t>
    </rPh>
    <phoneticPr fontId="5"/>
  </si>
  <si>
    <t>ホロカナイチョウ</t>
  </si>
  <si>
    <t>幌延町</t>
    <rPh sb="0" eb="3">
      <t>ホロノベチョウ</t>
    </rPh>
    <phoneticPr fontId="5"/>
  </si>
  <si>
    <t>ホロノベチョウ</t>
  </si>
  <si>
    <t>本別町</t>
    <rPh sb="0" eb="3">
      <t>ホンベツチョウ</t>
    </rPh>
    <phoneticPr fontId="5"/>
  </si>
  <si>
    <t>ホンベツチョウ</t>
  </si>
  <si>
    <t>幕別町（旧忠類村に限る。）</t>
    <rPh sb="0" eb="3">
      <t>マクベツチョウ</t>
    </rPh>
    <rPh sb="4" eb="5">
      <t>キュウ</t>
    </rPh>
    <rPh sb="5" eb="8">
      <t>チュウルイムラ</t>
    </rPh>
    <rPh sb="9" eb="10">
      <t>カギ</t>
    </rPh>
    <phoneticPr fontId="5"/>
  </si>
  <si>
    <t>マクベツチョウ（キュウチュウルイムラニカギル。）</t>
  </si>
  <si>
    <t>幕別町（旧幕別町に限る。）</t>
    <rPh sb="0" eb="3">
      <t>マクベツチョウ</t>
    </rPh>
    <rPh sb="4" eb="5">
      <t>キュウ</t>
    </rPh>
    <rPh sb="5" eb="8">
      <t>マクベツチョウ</t>
    </rPh>
    <rPh sb="9" eb="10">
      <t>カギ</t>
    </rPh>
    <phoneticPr fontId="5"/>
  </si>
  <si>
    <t>マクベツチョウ（キュウマクベツチョウニカギル。）</t>
  </si>
  <si>
    <t>増毛町</t>
    <rPh sb="0" eb="3">
      <t>マシケチョウ</t>
    </rPh>
    <phoneticPr fontId="5"/>
  </si>
  <si>
    <t>マシケチョウ</t>
  </si>
  <si>
    <t>真狩村</t>
    <rPh sb="0" eb="3">
      <t>マッカリムラ</t>
    </rPh>
    <phoneticPr fontId="5"/>
  </si>
  <si>
    <t>マッカリムラ</t>
  </si>
  <si>
    <t>松前町</t>
    <rPh sb="0" eb="3">
      <t>マツマエチョウ</t>
    </rPh>
    <phoneticPr fontId="5"/>
  </si>
  <si>
    <t>マツマエチョウ</t>
  </si>
  <si>
    <t>三笠市</t>
    <rPh sb="0" eb="3">
      <t>ミカサシ</t>
    </rPh>
    <phoneticPr fontId="5"/>
  </si>
  <si>
    <t>ミカサシ</t>
  </si>
  <si>
    <t>南富良野町</t>
    <rPh sb="0" eb="5">
      <t>ミナミフラノチョウ</t>
    </rPh>
    <phoneticPr fontId="5"/>
  </si>
  <si>
    <t>ミナミフラノチョウ</t>
  </si>
  <si>
    <t>むかわ町</t>
    <rPh sb="3" eb="4">
      <t>チョウ</t>
    </rPh>
    <phoneticPr fontId="5"/>
  </si>
  <si>
    <t>ムカワチョウ</t>
  </si>
  <si>
    <t>室蘭市</t>
    <rPh sb="0" eb="3">
      <t>ムロランシ</t>
    </rPh>
    <phoneticPr fontId="5"/>
  </si>
  <si>
    <t>ムロランシ</t>
  </si>
  <si>
    <t>芽室町</t>
    <rPh sb="0" eb="3">
      <t>メムロチョウ</t>
    </rPh>
    <phoneticPr fontId="5"/>
  </si>
  <si>
    <t>メムロチョウ</t>
  </si>
  <si>
    <t>妹背牛町</t>
    <rPh sb="0" eb="4">
      <t>モセウシチョウ</t>
    </rPh>
    <phoneticPr fontId="5"/>
  </si>
  <si>
    <t>モセウシチョウ</t>
  </si>
  <si>
    <t>森町</t>
    <rPh sb="0" eb="2">
      <t>モリマチ</t>
    </rPh>
    <phoneticPr fontId="5"/>
  </si>
  <si>
    <t>モリマチ</t>
  </si>
  <si>
    <t>紋別市</t>
    <rPh sb="0" eb="3">
      <t>モンベツシ</t>
    </rPh>
    <phoneticPr fontId="5"/>
  </si>
  <si>
    <t>モンベツシ</t>
  </si>
  <si>
    <t>八雲町(旧熊石町に限る。)</t>
    <rPh sb="0" eb="3">
      <t>ヤグモチョウ</t>
    </rPh>
    <rPh sb="4" eb="5">
      <t>キュウ</t>
    </rPh>
    <rPh sb="5" eb="8">
      <t>クマイシチョウ</t>
    </rPh>
    <rPh sb="9" eb="10">
      <t>カギ</t>
    </rPh>
    <phoneticPr fontId="5"/>
  </si>
  <si>
    <t>ヤグモチョウ(キュウクマイシチョウニカギル。)</t>
  </si>
  <si>
    <t>八雲町(旧八雲町に限る。)</t>
    <rPh sb="0" eb="3">
      <t>ヤグモチョウ</t>
    </rPh>
    <rPh sb="4" eb="5">
      <t>キュウ</t>
    </rPh>
    <rPh sb="5" eb="8">
      <t>ヤグモチョウ</t>
    </rPh>
    <rPh sb="9" eb="10">
      <t>カギ</t>
    </rPh>
    <phoneticPr fontId="5"/>
  </si>
  <si>
    <t>ヤグモチョウ(キュウヤグモチョウニカギル。)</t>
  </si>
  <si>
    <t>夕張市</t>
    <rPh sb="0" eb="3">
      <t>ユウバリシ</t>
    </rPh>
    <phoneticPr fontId="5"/>
  </si>
  <si>
    <t>ユウバリシ</t>
  </si>
  <si>
    <t>湧別町</t>
    <rPh sb="0" eb="3">
      <t>ユウベツチョウ</t>
    </rPh>
    <phoneticPr fontId="5"/>
  </si>
  <si>
    <t>ユウベツチョウ</t>
  </si>
  <si>
    <t>由仁町</t>
    <rPh sb="0" eb="3">
      <t>ユニチョウ</t>
    </rPh>
    <phoneticPr fontId="5"/>
  </si>
  <si>
    <t>ユニチョウ</t>
  </si>
  <si>
    <t>余市町</t>
    <rPh sb="0" eb="3">
      <t>ヨイチチョウ</t>
    </rPh>
    <phoneticPr fontId="5"/>
  </si>
  <si>
    <t>ヨイチチョウ</t>
  </si>
  <si>
    <t>羅臼町</t>
    <rPh sb="0" eb="3">
      <t>ラウスチョウ</t>
    </rPh>
    <phoneticPr fontId="5"/>
  </si>
  <si>
    <t>ラウスチョウ</t>
  </si>
  <si>
    <t>蘭越町</t>
    <rPh sb="0" eb="3">
      <t>ランコシチョウ</t>
    </rPh>
    <phoneticPr fontId="5"/>
  </si>
  <si>
    <t>ランコシチョウ</t>
  </si>
  <si>
    <t>陸別町</t>
    <rPh sb="0" eb="3">
      <t>リクベツチョウ</t>
    </rPh>
    <phoneticPr fontId="5"/>
  </si>
  <si>
    <t>リクベツチョウ</t>
  </si>
  <si>
    <t>利尻町</t>
    <rPh sb="0" eb="3">
      <t>リシリチョウ</t>
    </rPh>
    <phoneticPr fontId="5"/>
  </si>
  <si>
    <t>リシリチョウ</t>
  </si>
  <si>
    <t>利尻富士町</t>
    <rPh sb="0" eb="5">
      <t>リシリフジチョウ</t>
    </rPh>
    <phoneticPr fontId="5"/>
  </si>
  <si>
    <t>リシリフジチョウ</t>
  </si>
  <si>
    <t>留寿都村</t>
    <rPh sb="0" eb="4">
      <t>ルスツムラ</t>
    </rPh>
    <phoneticPr fontId="5"/>
  </si>
  <si>
    <t>ルスツムラ</t>
  </si>
  <si>
    <t>留萌市</t>
    <rPh sb="0" eb="3">
      <t>ルモイシ</t>
    </rPh>
    <phoneticPr fontId="5"/>
  </si>
  <si>
    <t>ルモイシ</t>
  </si>
  <si>
    <t>礼文町</t>
    <rPh sb="0" eb="3">
      <t>レブンチョウ</t>
    </rPh>
    <phoneticPr fontId="5"/>
  </si>
  <si>
    <t>レブンチョウ</t>
  </si>
  <si>
    <t>稚内市</t>
    <rPh sb="0" eb="3">
      <t>ワッカナイシ</t>
    </rPh>
    <phoneticPr fontId="5"/>
  </si>
  <si>
    <t>ワッカナイシ</t>
  </si>
  <si>
    <t>和寒町</t>
    <rPh sb="0" eb="3">
      <t>ワッサムチョウ</t>
    </rPh>
    <phoneticPr fontId="5"/>
  </si>
  <si>
    <t>ワッサムチョウ</t>
  </si>
  <si>
    <t>青森市</t>
    <rPh sb="0" eb="3">
      <t>アオモリシ</t>
    </rPh>
    <phoneticPr fontId="5"/>
  </si>
  <si>
    <t>アオモリシ</t>
  </si>
  <si>
    <t>鰺ヶ沢町</t>
    <rPh sb="0" eb="4">
      <t>アジガサワマチ</t>
    </rPh>
    <phoneticPr fontId="5"/>
  </si>
  <si>
    <t>アジガサワマチ</t>
  </si>
  <si>
    <t>板柳町</t>
    <rPh sb="0" eb="3">
      <t>イタヤナギマチ</t>
    </rPh>
    <phoneticPr fontId="5"/>
  </si>
  <si>
    <t>イタヤナギマチ</t>
  </si>
  <si>
    <t>田舎館村</t>
    <rPh sb="0" eb="4">
      <t>イナカダテムラ</t>
    </rPh>
    <phoneticPr fontId="5"/>
  </si>
  <si>
    <t>イナカダテムラ</t>
  </si>
  <si>
    <t>今別町</t>
    <rPh sb="0" eb="3">
      <t>イマベツマチ</t>
    </rPh>
    <phoneticPr fontId="5"/>
  </si>
  <si>
    <t>イマベツマチ</t>
  </si>
  <si>
    <t>おいらせ町</t>
    <rPh sb="4" eb="5">
      <t>チョウ</t>
    </rPh>
    <phoneticPr fontId="5"/>
  </si>
  <si>
    <t>オイラセチョウ</t>
  </si>
  <si>
    <t>大間町</t>
    <rPh sb="0" eb="3">
      <t>オオママチ</t>
    </rPh>
    <phoneticPr fontId="5"/>
  </si>
  <si>
    <t>オオママチ</t>
  </si>
  <si>
    <t>大鰐町</t>
    <rPh sb="0" eb="3">
      <t>オオワニマチ</t>
    </rPh>
    <phoneticPr fontId="5"/>
  </si>
  <si>
    <t>オオワニマチ</t>
  </si>
  <si>
    <t>風間浦村</t>
    <rPh sb="0" eb="4">
      <t>カザマウラムラ</t>
    </rPh>
    <phoneticPr fontId="5"/>
  </si>
  <si>
    <t>カザマウラムラ</t>
  </si>
  <si>
    <t>黒石市</t>
    <rPh sb="0" eb="3">
      <t>クロイシシ</t>
    </rPh>
    <phoneticPr fontId="5"/>
  </si>
  <si>
    <t>クロイシシ</t>
  </si>
  <si>
    <t>五所川原市</t>
    <rPh sb="0" eb="5">
      <t>ゴショガワラシ</t>
    </rPh>
    <phoneticPr fontId="5"/>
  </si>
  <si>
    <t>ゴショガワラシ</t>
  </si>
  <si>
    <t>五戸町</t>
    <rPh sb="0" eb="3">
      <t>ゴノヘマチ</t>
    </rPh>
    <phoneticPr fontId="5"/>
  </si>
  <si>
    <t>ゴノヘマチ</t>
  </si>
  <si>
    <t>佐井村</t>
    <rPh sb="0" eb="2">
      <t>サイ</t>
    </rPh>
    <rPh sb="2" eb="3">
      <t>ムラ</t>
    </rPh>
    <phoneticPr fontId="5"/>
  </si>
  <si>
    <t>サイムラ</t>
  </si>
  <si>
    <t>三戸町</t>
    <rPh sb="0" eb="3">
      <t>サンノヘマチ</t>
    </rPh>
    <phoneticPr fontId="5"/>
  </si>
  <si>
    <t>サンノヘマチ</t>
  </si>
  <si>
    <t>七戸町</t>
    <rPh sb="0" eb="3">
      <t>シチノヘマチ</t>
    </rPh>
    <phoneticPr fontId="5"/>
  </si>
  <si>
    <t>シチノヘマチ</t>
  </si>
  <si>
    <t>新郷村</t>
    <rPh sb="0" eb="2">
      <t>シンゴウ</t>
    </rPh>
    <rPh sb="2" eb="3">
      <t>ムラ</t>
    </rPh>
    <phoneticPr fontId="5"/>
  </si>
  <si>
    <t>シンゴウムラ</t>
  </si>
  <si>
    <t>外ヶ浜町</t>
    <rPh sb="0" eb="4">
      <t>ソトガハママチ</t>
    </rPh>
    <phoneticPr fontId="5"/>
  </si>
  <si>
    <t>ソトガハママチ</t>
  </si>
  <si>
    <t>田子町</t>
    <rPh sb="0" eb="3">
      <t>タッコマチ</t>
    </rPh>
    <phoneticPr fontId="5"/>
  </si>
  <si>
    <t>タッコマチ</t>
  </si>
  <si>
    <t>つがる市</t>
    <rPh sb="3" eb="4">
      <t>シ</t>
    </rPh>
    <phoneticPr fontId="5"/>
  </si>
  <si>
    <t>ツガルシ</t>
  </si>
  <si>
    <t>鶴田町</t>
    <rPh sb="0" eb="3">
      <t>ツルダチョウ</t>
    </rPh>
    <phoneticPr fontId="5"/>
  </si>
  <si>
    <t>ツルダチョウ</t>
  </si>
  <si>
    <t>東北町</t>
    <rPh sb="0" eb="3">
      <t>トウホクマチ</t>
    </rPh>
    <phoneticPr fontId="5"/>
  </si>
  <si>
    <t>トウホクマチ</t>
  </si>
  <si>
    <t>十和田市</t>
    <rPh sb="0" eb="4">
      <t>トワダシ</t>
    </rPh>
    <phoneticPr fontId="5"/>
  </si>
  <si>
    <t>トワダシ</t>
  </si>
  <si>
    <t>中泊町</t>
    <rPh sb="0" eb="3">
      <t>ナカドマリマチ</t>
    </rPh>
    <phoneticPr fontId="5"/>
  </si>
  <si>
    <t>ナカドマリマチ</t>
  </si>
  <si>
    <t>南部町</t>
    <rPh sb="0" eb="3">
      <t>ナンブチョウ</t>
    </rPh>
    <phoneticPr fontId="5"/>
  </si>
  <si>
    <t>ナンブチョウ</t>
  </si>
  <si>
    <t>西目屋村</t>
    <rPh sb="0" eb="4">
      <t>ニシメヤムラ</t>
    </rPh>
    <phoneticPr fontId="5"/>
  </si>
  <si>
    <t>ニシメヤムラ</t>
  </si>
  <si>
    <t>野辺地町</t>
    <rPh sb="0" eb="4">
      <t>ノヘジマチ</t>
    </rPh>
    <phoneticPr fontId="5"/>
  </si>
  <si>
    <t>ノヘジマチ</t>
  </si>
  <si>
    <t>階上町</t>
    <rPh sb="0" eb="3">
      <t>ハシカミチョウ</t>
    </rPh>
    <phoneticPr fontId="5"/>
  </si>
  <si>
    <t>ハシカミチョウ</t>
  </si>
  <si>
    <t>八戸市</t>
    <rPh sb="0" eb="3">
      <t>ハチノヘシ</t>
    </rPh>
    <phoneticPr fontId="5"/>
  </si>
  <si>
    <t>ハチノヘシ</t>
  </si>
  <si>
    <t>東通村</t>
    <rPh sb="0" eb="3">
      <t>ヒガシドオリムラ</t>
    </rPh>
    <phoneticPr fontId="5"/>
  </si>
  <si>
    <t>ヒガシドオリムラ</t>
  </si>
  <si>
    <t>平川市（旧碇ヶ関村に限る。）</t>
    <rPh sb="0" eb="3">
      <t>ヒラカワシ</t>
    </rPh>
    <rPh sb="4" eb="5">
      <t>キュウ</t>
    </rPh>
    <rPh sb="5" eb="9">
      <t>イカリガセキムラ</t>
    </rPh>
    <rPh sb="10" eb="11">
      <t>カギ</t>
    </rPh>
    <phoneticPr fontId="5"/>
  </si>
  <si>
    <t>ヒラカワシ（キュウイカリガセキムラニカギル。）</t>
  </si>
  <si>
    <t>平川市（旧尾上町、旧平賀町に限る。）</t>
    <rPh sb="0" eb="3">
      <t>ヒラカワシ</t>
    </rPh>
    <rPh sb="4" eb="5">
      <t>キュウ</t>
    </rPh>
    <rPh sb="5" eb="8">
      <t>オノエチョウ</t>
    </rPh>
    <rPh sb="9" eb="10">
      <t>キュウ</t>
    </rPh>
    <rPh sb="10" eb="13">
      <t>ヒラカマチ</t>
    </rPh>
    <rPh sb="14" eb="15">
      <t>カギ</t>
    </rPh>
    <phoneticPr fontId="5"/>
  </si>
  <si>
    <t>ヒラカワシ（キュウオノエチョウ、キュウヒラカマチニカギル。）</t>
  </si>
  <si>
    <t>平内町</t>
    <rPh sb="0" eb="3">
      <t>ヒラナイマチ</t>
    </rPh>
    <phoneticPr fontId="5"/>
  </si>
  <si>
    <t>ヒラナイマチ</t>
  </si>
  <si>
    <t>弘前市</t>
    <rPh sb="0" eb="3">
      <t>ヒロサキシ</t>
    </rPh>
    <phoneticPr fontId="5"/>
  </si>
  <si>
    <t>ヒロサキシ</t>
  </si>
  <si>
    <t>深浦町</t>
    <rPh sb="0" eb="3">
      <t>フカウラマチ</t>
    </rPh>
    <phoneticPr fontId="5"/>
  </si>
  <si>
    <t>フカウラマチ</t>
  </si>
  <si>
    <t>藤崎町</t>
    <rPh sb="0" eb="3">
      <t>フジサキマチ</t>
    </rPh>
    <phoneticPr fontId="5"/>
  </si>
  <si>
    <t>フジサキマチ</t>
  </si>
  <si>
    <t>三沢市</t>
    <rPh sb="0" eb="3">
      <t>ミサワシ</t>
    </rPh>
    <phoneticPr fontId="5"/>
  </si>
  <si>
    <t>ミサワシ</t>
  </si>
  <si>
    <t>むつ市</t>
    <rPh sb="2" eb="3">
      <t>シ</t>
    </rPh>
    <phoneticPr fontId="5"/>
  </si>
  <si>
    <t>ムツシ</t>
  </si>
  <si>
    <t>横浜町</t>
    <rPh sb="0" eb="2">
      <t>ヨコハマ</t>
    </rPh>
    <rPh sb="2" eb="3">
      <t>チョウ</t>
    </rPh>
    <phoneticPr fontId="5"/>
  </si>
  <si>
    <t>ヨコハマチョウ</t>
  </si>
  <si>
    <t>蓬田村</t>
    <rPh sb="0" eb="2">
      <t>ヨモギダ</t>
    </rPh>
    <rPh sb="2" eb="3">
      <t>ムラ</t>
    </rPh>
    <phoneticPr fontId="5"/>
  </si>
  <si>
    <t>ヨモギダムラ</t>
  </si>
  <si>
    <t>六戸町</t>
    <rPh sb="0" eb="3">
      <t>ロクノヘマチ</t>
    </rPh>
    <phoneticPr fontId="5"/>
  </si>
  <si>
    <t>ロクノヘマチ</t>
  </si>
  <si>
    <t>六ヶ所村</t>
    <rPh sb="0" eb="4">
      <t>ロッカショムラ</t>
    </rPh>
    <phoneticPr fontId="5"/>
  </si>
  <si>
    <t>ロッカショムラ</t>
  </si>
  <si>
    <t>岩手県</t>
  </si>
  <si>
    <t>一関市（旧一関市、旧花泉町、旧川崎村に限る。）</t>
    <rPh sb="0" eb="3">
      <t>イチノセキシ</t>
    </rPh>
    <rPh sb="4" eb="5">
      <t>キュウ</t>
    </rPh>
    <rPh sb="5" eb="8">
      <t>イチノセキシ</t>
    </rPh>
    <rPh sb="9" eb="10">
      <t>キュウ</t>
    </rPh>
    <rPh sb="10" eb="13">
      <t>ハナイズミマチ</t>
    </rPh>
    <rPh sb="14" eb="15">
      <t>キュウ</t>
    </rPh>
    <rPh sb="15" eb="17">
      <t>カワサキ</t>
    </rPh>
    <rPh sb="17" eb="18">
      <t>ムラ</t>
    </rPh>
    <rPh sb="19" eb="20">
      <t>カギ</t>
    </rPh>
    <phoneticPr fontId="5"/>
  </si>
  <si>
    <t>イチノセキシ（キュウイチノセキシ、キュウハナイズミマチ、キュウカワサキムラニカギル。）</t>
  </si>
  <si>
    <t>一関市(旧大東町、旧藤沢町、旧千厩町、旧東山町、旧室根村に限る。)</t>
    <rPh sb="0" eb="3">
      <t>イチノセキシ</t>
    </rPh>
    <rPh sb="4" eb="5">
      <t>キュウ</t>
    </rPh>
    <rPh sb="5" eb="8">
      <t>ダイトウチョウ</t>
    </rPh>
    <rPh sb="9" eb="10">
      <t>キュウ</t>
    </rPh>
    <rPh sb="10" eb="13">
      <t>フジサワチョウ</t>
    </rPh>
    <rPh sb="14" eb="15">
      <t>キュウ</t>
    </rPh>
    <rPh sb="15" eb="18">
      <t>センマヤチョウ</t>
    </rPh>
    <rPh sb="19" eb="20">
      <t>キュウ</t>
    </rPh>
    <rPh sb="20" eb="22">
      <t>ヒガシヤマ</t>
    </rPh>
    <rPh sb="22" eb="23">
      <t>チョウ</t>
    </rPh>
    <rPh sb="24" eb="25">
      <t>キュウ</t>
    </rPh>
    <rPh sb="25" eb="28">
      <t>ムロネムラ</t>
    </rPh>
    <rPh sb="29" eb="30">
      <t>カギ</t>
    </rPh>
    <phoneticPr fontId="5"/>
  </si>
  <si>
    <t>イチノセキシ(キュウダイトウチョウ、キュウフジサワチョウ、キュウセンマヤチョウ、キュウヒガシヤマチョウ、キュウムロネムラニカギル。)</t>
  </si>
  <si>
    <t>一戸町</t>
    <rPh sb="0" eb="3">
      <t>イチノヘマチ</t>
    </rPh>
    <phoneticPr fontId="5"/>
  </si>
  <si>
    <t>イチノヘマチ</t>
  </si>
  <si>
    <t>岩泉町</t>
    <rPh sb="0" eb="3">
      <t>イワイズミチョウ</t>
    </rPh>
    <phoneticPr fontId="5"/>
  </si>
  <si>
    <t>イワイズミチョウ</t>
  </si>
  <si>
    <t>岩手町</t>
    <rPh sb="0" eb="2">
      <t>イワテ</t>
    </rPh>
    <rPh sb="2" eb="3">
      <t>マチ</t>
    </rPh>
    <phoneticPr fontId="5"/>
  </si>
  <si>
    <t>イワテマチ</t>
  </si>
  <si>
    <t>奥州市</t>
    <rPh sb="0" eb="3">
      <t>オウシュウシ</t>
    </rPh>
    <phoneticPr fontId="5"/>
  </si>
  <si>
    <t>オウシュウシ</t>
  </si>
  <si>
    <t>大槌町</t>
    <rPh sb="0" eb="3">
      <t>オオツチチョウ</t>
    </rPh>
    <phoneticPr fontId="5"/>
  </si>
  <si>
    <t>オオツチチョウ</t>
  </si>
  <si>
    <t>大船渡市</t>
    <rPh sb="0" eb="4">
      <t>オオフナトシ</t>
    </rPh>
    <phoneticPr fontId="5"/>
  </si>
  <si>
    <t>オオフナトシ</t>
  </si>
  <si>
    <t>釜石市</t>
    <rPh sb="0" eb="3">
      <t>カマイシシ</t>
    </rPh>
    <phoneticPr fontId="5"/>
  </si>
  <si>
    <t>カマイシシ</t>
  </si>
  <si>
    <t>軽米町</t>
    <rPh sb="0" eb="3">
      <t>カルマイマチ</t>
    </rPh>
    <phoneticPr fontId="5"/>
  </si>
  <si>
    <t>カルマイマチ</t>
  </si>
  <si>
    <t>北上市</t>
    <rPh sb="0" eb="3">
      <t>キタカミシ</t>
    </rPh>
    <phoneticPr fontId="5"/>
  </si>
  <si>
    <t>キタカミシ</t>
  </si>
  <si>
    <t>金ケ崎町</t>
    <rPh sb="0" eb="1">
      <t>キン</t>
    </rPh>
    <rPh sb="2" eb="3">
      <t>ザキ</t>
    </rPh>
    <rPh sb="3" eb="4">
      <t>マチ</t>
    </rPh>
    <phoneticPr fontId="5"/>
  </si>
  <si>
    <t>キンケザキマチ</t>
  </si>
  <si>
    <t>久慈市</t>
    <rPh sb="0" eb="3">
      <t>クジシ</t>
    </rPh>
    <phoneticPr fontId="5"/>
  </si>
  <si>
    <t>クジシ</t>
  </si>
  <si>
    <t>葛巻町</t>
    <rPh sb="0" eb="3">
      <t>クズマキマチ</t>
    </rPh>
    <phoneticPr fontId="5"/>
  </si>
  <si>
    <t>クズマキマチ</t>
  </si>
  <si>
    <t>九戸村</t>
    <rPh sb="0" eb="3">
      <t>クノヘムラ</t>
    </rPh>
    <phoneticPr fontId="5"/>
  </si>
  <si>
    <t>クノヘムラ</t>
  </si>
  <si>
    <t>雫石町</t>
    <rPh sb="0" eb="3">
      <t>シズクイシチョウ</t>
    </rPh>
    <phoneticPr fontId="5"/>
  </si>
  <si>
    <t>シズクイシチョウ</t>
  </si>
  <si>
    <t>紫波町</t>
    <rPh sb="0" eb="3">
      <t>シワチョウ</t>
    </rPh>
    <phoneticPr fontId="5"/>
  </si>
  <si>
    <t>シワチョウ</t>
  </si>
  <si>
    <t>住田町</t>
    <rPh sb="0" eb="3">
      <t>スミダマチ</t>
    </rPh>
    <phoneticPr fontId="5"/>
  </si>
  <si>
    <t>スミダマチ</t>
  </si>
  <si>
    <t>滝沢市</t>
    <rPh sb="0" eb="2">
      <t>タキザワ</t>
    </rPh>
    <rPh sb="2" eb="3">
      <t>シ</t>
    </rPh>
    <phoneticPr fontId="5"/>
  </si>
  <si>
    <t>タキザワシ</t>
  </si>
  <si>
    <t>田野畑村</t>
    <rPh sb="0" eb="4">
      <t>タノハタムラ</t>
    </rPh>
    <phoneticPr fontId="5"/>
  </si>
  <si>
    <t>タノハタムラ</t>
  </si>
  <si>
    <t>遠野市</t>
    <rPh sb="0" eb="3">
      <t>トオノシ</t>
    </rPh>
    <phoneticPr fontId="5"/>
  </si>
  <si>
    <t>トオノシ</t>
  </si>
  <si>
    <t>西和賀町</t>
    <rPh sb="0" eb="4">
      <t>ニシワガマチ</t>
    </rPh>
    <phoneticPr fontId="5"/>
  </si>
  <si>
    <t>ニシワガマチ</t>
  </si>
  <si>
    <t>二戸市</t>
    <rPh sb="0" eb="3">
      <t>ニノヘシ</t>
    </rPh>
    <phoneticPr fontId="5"/>
  </si>
  <si>
    <t>ニノヘシ</t>
  </si>
  <si>
    <t>野田村</t>
    <rPh sb="0" eb="2">
      <t>ノダ</t>
    </rPh>
    <rPh sb="2" eb="3">
      <t>ムラ</t>
    </rPh>
    <phoneticPr fontId="5"/>
  </si>
  <si>
    <t>ノダムラ</t>
  </si>
  <si>
    <t>八幡平市</t>
    <rPh sb="0" eb="4">
      <t>ハチマンタイシ</t>
    </rPh>
    <phoneticPr fontId="5"/>
  </si>
  <si>
    <t>ハチマンタイシ</t>
  </si>
  <si>
    <t>八幡平市（旧安代町に限る。）</t>
    <rPh sb="0" eb="4">
      <t>ハチマンタイシ</t>
    </rPh>
    <rPh sb="5" eb="6">
      <t>キュウ</t>
    </rPh>
    <rPh sb="6" eb="9">
      <t>アシロチョウ</t>
    </rPh>
    <rPh sb="10" eb="11">
      <t>カギ</t>
    </rPh>
    <phoneticPr fontId="5"/>
  </si>
  <si>
    <t>ハチマンタイシ（キュウアシロチョウニカギル。）</t>
  </si>
  <si>
    <t>八幡平市（旧西根町、旧松尾村に限る。）</t>
    <rPh sb="0" eb="4">
      <t>ハチマンタイシ</t>
    </rPh>
    <rPh sb="5" eb="6">
      <t>キュウ</t>
    </rPh>
    <rPh sb="6" eb="9">
      <t>ニシネチョウ</t>
    </rPh>
    <rPh sb="10" eb="11">
      <t>キュウ</t>
    </rPh>
    <rPh sb="11" eb="13">
      <t>マツオ</t>
    </rPh>
    <rPh sb="13" eb="14">
      <t>ムラ</t>
    </rPh>
    <rPh sb="15" eb="16">
      <t>カギ</t>
    </rPh>
    <phoneticPr fontId="5"/>
  </si>
  <si>
    <t>ハチマンタイシ（キュウニシネチョウ、キュウマツオムラニカギル。）</t>
  </si>
  <si>
    <t>花巻市</t>
    <rPh sb="0" eb="3">
      <t>ハナマキシ</t>
    </rPh>
    <phoneticPr fontId="5"/>
  </si>
  <si>
    <t>ハナマキシ</t>
  </si>
  <si>
    <t>平泉町</t>
    <rPh sb="0" eb="3">
      <t>ヒライズミチョウ</t>
    </rPh>
    <phoneticPr fontId="5"/>
  </si>
  <si>
    <t>ヒライズミチョウ</t>
  </si>
  <si>
    <t>洋野町</t>
    <rPh sb="0" eb="3">
      <t>ヒロノチョウ</t>
    </rPh>
    <phoneticPr fontId="5"/>
  </si>
  <si>
    <t>ヒロノチョウ</t>
  </si>
  <si>
    <t>普代村</t>
    <rPh sb="0" eb="3">
      <t>フダイムラ</t>
    </rPh>
    <phoneticPr fontId="5"/>
  </si>
  <si>
    <t>フダイムラ</t>
  </si>
  <si>
    <t>宮古市</t>
    <rPh sb="0" eb="3">
      <t>ミヤコシ</t>
    </rPh>
    <phoneticPr fontId="5"/>
  </si>
  <si>
    <t>ミヤコシ</t>
  </si>
  <si>
    <t>盛岡市</t>
    <rPh sb="0" eb="3">
      <t>モリオカシ</t>
    </rPh>
    <phoneticPr fontId="5"/>
  </si>
  <si>
    <t>モリオカシ</t>
  </si>
  <si>
    <t>矢巾町</t>
    <rPh sb="0" eb="3">
      <t>ヤハバチョウ</t>
    </rPh>
    <phoneticPr fontId="5"/>
  </si>
  <si>
    <t>ヤハバチョウ</t>
  </si>
  <si>
    <t>山田町</t>
    <rPh sb="0" eb="3">
      <t>ヤマダチョウ</t>
    </rPh>
    <phoneticPr fontId="5"/>
  </si>
  <si>
    <t>ヤマダチョウ</t>
  </si>
  <si>
    <t>陸前高田市</t>
    <rPh sb="0" eb="5">
      <t>リクゼンタカタシ</t>
    </rPh>
    <phoneticPr fontId="5"/>
  </si>
  <si>
    <t>リクゼンタカタシ</t>
  </si>
  <si>
    <t>宮城県</t>
  </si>
  <si>
    <t>石巻市</t>
    <rPh sb="0" eb="3">
      <t>イシノマキシ</t>
    </rPh>
    <phoneticPr fontId="5"/>
  </si>
  <si>
    <t>イシノマキシ</t>
  </si>
  <si>
    <t>岩沼市</t>
    <rPh sb="0" eb="3">
      <t>イワヌマシ</t>
    </rPh>
    <phoneticPr fontId="5"/>
  </si>
  <si>
    <t>イワヌマシ</t>
  </si>
  <si>
    <t>大河原町</t>
    <rPh sb="0" eb="4">
      <t>オオガワラマチ</t>
    </rPh>
    <phoneticPr fontId="5"/>
  </si>
  <si>
    <t>オオガワラマチ</t>
  </si>
  <si>
    <t>大崎市</t>
    <rPh sb="0" eb="3">
      <t>オオサキシ</t>
    </rPh>
    <phoneticPr fontId="5"/>
  </si>
  <si>
    <t>オオサキシ</t>
  </si>
  <si>
    <t>大郷町</t>
    <rPh sb="0" eb="3">
      <t>オオサトチョウ</t>
    </rPh>
    <phoneticPr fontId="5"/>
  </si>
  <si>
    <t>オオサトチョウ</t>
  </si>
  <si>
    <t>大衡村</t>
    <rPh sb="0" eb="3">
      <t>オオヒラムラ</t>
    </rPh>
    <phoneticPr fontId="5"/>
  </si>
  <si>
    <t>オオヒラムラ</t>
  </si>
  <si>
    <t>女川町</t>
    <rPh sb="0" eb="3">
      <t>オナガワチョウ</t>
    </rPh>
    <phoneticPr fontId="5"/>
  </si>
  <si>
    <t>オナガワチョウ</t>
  </si>
  <si>
    <t>角田市</t>
    <rPh sb="0" eb="3">
      <t>カクダシ</t>
    </rPh>
    <phoneticPr fontId="5"/>
  </si>
  <si>
    <t>カクダシ</t>
  </si>
  <si>
    <t>加美町</t>
    <rPh sb="0" eb="3">
      <t>カミマチ</t>
    </rPh>
    <phoneticPr fontId="5"/>
  </si>
  <si>
    <t>カミマチ</t>
  </si>
  <si>
    <t>川崎町</t>
    <rPh sb="0" eb="3">
      <t>カワサキマチ</t>
    </rPh>
    <phoneticPr fontId="5"/>
  </si>
  <si>
    <t>カワサキマチ</t>
  </si>
  <si>
    <t>栗原市</t>
    <rPh sb="0" eb="3">
      <t>クリハラシ</t>
    </rPh>
    <phoneticPr fontId="5"/>
  </si>
  <si>
    <t>クリハラシ</t>
  </si>
  <si>
    <t>気仙沼市</t>
    <rPh sb="0" eb="4">
      <t>ケセンヌマシ</t>
    </rPh>
    <phoneticPr fontId="5"/>
  </si>
  <si>
    <t>ケセンヌマシ</t>
  </si>
  <si>
    <t>蔵王町</t>
    <rPh sb="0" eb="3">
      <t>ザオウマチ</t>
    </rPh>
    <phoneticPr fontId="5"/>
  </si>
  <si>
    <t>ザオウマチ</t>
  </si>
  <si>
    <t>塩竈市</t>
    <rPh sb="0" eb="3">
      <t>シオガマシ</t>
    </rPh>
    <phoneticPr fontId="5"/>
  </si>
  <si>
    <t>シオガマシ</t>
  </si>
  <si>
    <t>色麻町</t>
    <rPh sb="0" eb="3">
      <t>シカマチョウ</t>
    </rPh>
    <phoneticPr fontId="5"/>
  </si>
  <si>
    <t>シカマチョウ</t>
  </si>
  <si>
    <t>七ヶ宿町</t>
    <rPh sb="0" eb="4">
      <t>シチカシュクマチ</t>
    </rPh>
    <phoneticPr fontId="5"/>
  </si>
  <si>
    <t>シチカシュクマチ</t>
  </si>
  <si>
    <t>七ヶ浜町</t>
    <rPh sb="0" eb="4">
      <t>シチガハママチ</t>
    </rPh>
    <phoneticPr fontId="5"/>
  </si>
  <si>
    <t>シチガハママチ</t>
  </si>
  <si>
    <t>柴田町</t>
    <rPh sb="0" eb="3">
      <t>シバタマチ</t>
    </rPh>
    <phoneticPr fontId="5"/>
  </si>
  <si>
    <t>シバタマチ</t>
  </si>
  <si>
    <t>白石市</t>
    <rPh sb="0" eb="3">
      <t>シロイシシ</t>
    </rPh>
    <phoneticPr fontId="5"/>
  </si>
  <si>
    <t>シロイシシ</t>
  </si>
  <si>
    <t>仙台市</t>
    <rPh sb="0" eb="3">
      <t>センダイシ</t>
    </rPh>
    <phoneticPr fontId="5"/>
  </si>
  <si>
    <t>センダイシ</t>
  </si>
  <si>
    <t>多賀城市</t>
    <rPh sb="0" eb="4">
      <t>タガジョウシ</t>
    </rPh>
    <phoneticPr fontId="5"/>
  </si>
  <si>
    <t>タガジョウシ</t>
  </si>
  <si>
    <t>富谷市</t>
    <rPh sb="0" eb="2">
      <t>トミヤ</t>
    </rPh>
    <rPh sb="2" eb="3">
      <t>シ</t>
    </rPh>
    <phoneticPr fontId="5"/>
  </si>
  <si>
    <t>トミヤシ</t>
  </si>
  <si>
    <t>登米市</t>
    <rPh sb="0" eb="3">
      <t>トメシ</t>
    </rPh>
    <phoneticPr fontId="5"/>
  </si>
  <si>
    <t>トメシ</t>
  </si>
  <si>
    <t>名取市</t>
    <rPh sb="0" eb="3">
      <t>ナトリシ</t>
    </rPh>
    <phoneticPr fontId="5"/>
  </si>
  <si>
    <t>ナトリシ</t>
  </si>
  <si>
    <t>東松島市</t>
    <rPh sb="0" eb="4">
      <t>ヒガシマツシマシ</t>
    </rPh>
    <phoneticPr fontId="5"/>
  </si>
  <si>
    <t>ヒガシマツシマシ</t>
  </si>
  <si>
    <t>松島町</t>
    <rPh sb="0" eb="3">
      <t>マツシママチ</t>
    </rPh>
    <phoneticPr fontId="5"/>
  </si>
  <si>
    <t>マツシママチ</t>
  </si>
  <si>
    <t>丸森町</t>
    <rPh sb="0" eb="3">
      <t>マルモリマチ</t>
    </rPh>
    <phoneticPr fontId="5"/>
  </si>
  <si>
    <t>マルモリマチ</t>
  </si>
  <si>
    <t>美里町</t>
    <rPh sb="0" eb="3">
      <t>ミサトマチ</t>
    </rPh>
    <phoneticPr fontId="5"/>
  </si>
  <si>
    <t>ミサトマチ</t>
  </si>
  <si>
    <t>南三陸町</t>
    <rPh sb="0" eb="4">
      <t>ミナミサンリクチョウ</t>
    </rPh>
    <phoneticPr fontId="5"/>
  </si>
  <si>
    <t>ミナミサンリクチョウ</t>
  </si>
  <si>
    <t>村田町</t>
    <rPh sb="0" eb="3">
      <t>ムラタマチ</t>
    </rPh>
    <phoneticPr fontId="5"/>
  </si>
  <si>
    <t>ムラタマチ</t>
  </si>
  <si>
    <t>大和町</t>
    <rPh sb="0" eb="3">
      <t>ヤマトチョウ</t>
    </rPh>
    <phoneticPr fontId="5"/>
  </si>
  <si>
    <t>ヤマトチョウ</t>
  </si>
  <si>
    <t>山元町</t>
    <rPh sb="0" eb="3">
      <t>ヤマモトチョウ</t>
    </rPh>
    <phoneticPr fontId="5"/>
  </si>
  <si>
    <t>ヤマモトチョウ</t>
  </si>
  <si>
    <t>利府町</t>
    <rPh sb="0" eb="3">
      <t>リフチョウ</t>
    </rPh>
    <phoneticPr fontId="5"/>
  </si>
  <si>
    <t>リフチョウ</t>
  </si>
  <si>
    <t>涌谷町</t>
    <rPh sb="0" eb="3">
      <t>ワクヤチョウ</t>
    </rPh>
    <phoneticPr fontId="5"/>
  </si>
  <si>
    <t>ワクヤチョウ</t>
  </si>
  <si>
    <t>亘理町</t>
    <rPh sb="0" eb="3">
      <t>ワタリチョウ</t>
    </rPh>
    <phoneticPr fontId="5"/>
  </si>
  <si>
    <t>ワタリチョウ</t>
  </si>
  <si>
    <t>秋田県</t>
  </si>
  <si>
    <t>秋田市</t>
    <rPh sb="0" eb="3">
      <t>アキタシ</t>
    </rPh>
    <phoneticPr fontId="5"/>
  </si>
  <si>
    <t>アキタシ</t>
  </si>
  <si>
    <t>井川町</t>
    <rPh sb="0" eb="2">
      <t>イカワ</t>
    </rPh>
    <rPh sb="2" eb="3">
      <t>チョウ</t>
    </rPh>
    <phoneticPr fontId="5"/>
  </si>
  <si>
    <t>イカワチョウ</t>
  </si>
  <si>
    <t>羽後町</t>
    <rPh sb="0" eb="3">
      <t>ウゴマチ</t>
    </rPh>
    <phoneticPr fontId="5"/>
  </si>
  <si>
    <t>ウゴマチ</t>
  </si>
  <si>
    <t>大潟村</t>
    <rPh sb="0" eb="3">
      <t>オオガタムラ</t>
    </rPh>
    <phoneticPr fontId="5"/>
  </si>
  <si>
    <t>オオガタムラ</t>
  </si>
  <si>
    <t>大館市</t>
    <rPh sb="0" eb="3">
      <t>オオダテシ</t>
    </rPh>
    <phoneticPr fontId="5"/>
  </si>
  <si>
    <t>オオダテシ</t>
  </si>
  <si>
    <t>男鹿市</t>
    <rPh sb="0" eb="3">
      <t>オガシ</t>
    </rPh>
    <phoneticPr fontId="5"/>
  </si>
  <si>
    <t>オガシ</t>
  </si>
  <si>
    <t>潟上市</t>
    <rPh sb="0" eb="3">
      <t>カタガミシ</t>
    </rPh>
    <phoneticPr fontId="5"/>
  </si>
  <si>
    <t>カタガミシ</t>
  </si>
  <si>
    <t>鹿角市</t>
    <rPh sb="0" eb="3">
      <t>カヅノシ</t>
    </rPh>
    <phoneticPr fontId="5"/>
  </si>
  <si>
    <t>カヅノシ</t>
  </si>
  <si>
    <t>上小阿仁村</t>
    <rPh sb="0" eb="5">
      <t>カミコアニムラ</t>
    </rPh>
    <phoneticPr fontId="5"/>
  </si>
  <si>
    <t>カミコアニムラ</t>
  </si>
  <si>
    <t>北秋田市</t>
    <rPh sb="0" eb="1">
      <t>キタ</t>
    </rPh>
    <rPh sb="1" eb="4">
      <t>アキタシ</t>
    </rPh>
    <phoneticPr fontId="5"/>
  </si>
  <si>
    <t>キタアキタシ</t>
  </si>
  <si>
    <t>小坂町</t>
    <rPh sb="0" eb="3">
      <t>コザカチョウ</t>
    </rPh>
    <phoneticPr fontId="5"/>
  </si>
  <si>
    <t>コザカチョウ</t>
  </si>
  <si>
    <t>五城目町</t>
    <rPh sb="0" eb="4">
      <t>ゴジョウメマチ</t>
    </rPh>
    <phoneticPr fontId="5"/>
  </si>
  <si>
    <t>ゴジョウメマチ</t>
  </si>
  <si>
    <t>仙北市</t>
    <rPh sb="0" eb="2">
      <t>センボク</t>
    </rPh>
    <rPh sb="2" eb="3">
      <t>シ</t>
    </rPh>
    <phoneticPr fontId="5"/>
  </si>
  <si>
    <t>センボクシ</t>
  </si>
  <si>
    <t>大仙市</t>
    <rPh sb="0" eb="3">
      <t>ダイセンシ</t>
    </rPh>
    <phoneticPr fontId="5"/>
  </si>
  <si>
    <t>ダイセンシ</t>
  </si>
  <si>
    <t>にかほ市</t>
    <rPh sb="3" eb="4">
      <t>シ</t>
    </rPh>
    <phoneticPr fontId="5"/>
  </si>
  <si>
    <t>ニカホシ</t>
  </si>
  <si>
    <t>能代市(旧能代市に限る。)</t>
    <rPh sb="0" eb="3">
      <t>ノシロシ</t>
    </rPh>
    <rPh sb="4" eb="5">
      <t>キュウ</t>
    </rPh>
    <rPh sb="5" eb="8">
      <t>ノシロシ</t>
    </rPh>
    <rPh sb="9" eb="10">
      <t>カギ</t>
    </rPh>
    <phoneticPr fontId="5"/>
  </si>
  <si>
    <t>ノシロシ(キュウノシロシニカギル。)</t>
  </si>
  <si>
    <t>能代市(旧二ツ井町に限る。)</t>
    <rPh sb="0" eb="3">
      <t>ノシロシ</t>
    </rPh>
    <rPh sb="4" eb="5">
      <t>キュウ</t>
    </rPh>
    <rPh sb="5" eb="6">
      <t>フタ</t>
    </rPh>
    <rPh sb="7" eb="9">
      <t>イマチ</t>
    </rPh>
    <rPh sb="10" eb="11">
      <t>カギ</t>
    </rPh>
    <phoneticPr fontId="5"/>
  </si>
  <si>
    <t>ノシロシ(キュウフタツイマチニカギル。)</t>
  </si>
  <si>
    <t>八郎潟町</t>
    <rPh sb="0" eb="4">
      <t>ハチロウガタマチ</t>
    </rPh>
    <phoneticPr fontId="5"/>
  </si>
  <si>
    <t>ハチロウガタマチ</t>
  </si>
  <si>
    <t>八峰町</t>
    <rPh sb="0" eb="3">
      <t>ハッポウチョウ</t>
    </rPh>
    <phoneticPr fontId="5"/>
  </si>
  <si>
    <t>ハッポウチョウ</t>
  </si>
  <si>
    <t>東成瀬村</t>
    <rPh sb="0" eb="4">
      <t>ヒガシナルセムラ</t>
    </rPh>
    <phoneticPr fontId="5"/>
  </si>
  <si>
    <t>ヒガシナルセムラ</t>
  </si>
  <si>
    <t>藤里町</t>
    <rPh sb="0" eb="3">
      <t>フジサトマチ</t>
    </rPh>
    <phoneticPr fontId="5"/>
  </si>
  <si>
    <t>フジサトマチ</t>
  </si>
  <si>
    <t>美郷町</t>
    <rPh sb="0" eb="2">
      <t>ミサト</t>
    </rPh>
    <rPh sb="2" eb="3">
      <t>マチ</t>
    </rPh>
    <phoneticPr fontId="5"/>
  </si>
  <si>
    <t>三種町</t>
    <rPh sb="0" eb="3">
      <t>ミタネチョウ</t>
    </rPh>
    <phoneticPr fontId="5"/>
  </si>
  <si>
    <t>ミタネチョウ</t>
  </si>
  <si>
    <t>湯沢市</t>
    <rPh sb="0" eb="3">
      <t>ユザワシ</t>
    </rPh>
    <phoneticPr fontId="5"/>
  </si>
  <si>
    <t>ユザワシ</t>
  </si>
  <si>
    <t>由利本荘市</t>
    <rPh sb="0" eb="5">
      <t>ユリホンジョウシ</t>
    </rPh>
    <phoneticPr fontId="5"/>
  </si>
  <si>
    <t>ユリホンジョウシ</t>
  </si>
  <si>
    <t>横手市</t>
    <rPh sb="0" eb="3">
      <t>ヨコテシ</t>
    </rPh>
    <phoneticPr fontId="5"/>
  </si>
  <si>
    <t>ヨコテシ</t>
  </si>
  <si>
    <t>山形県</t>
  </si>
  <si>
    <t>朝日町</t>
    <rPh sb="0" eb="3">
      <t>アサヒチョウ</t>
    </rPh>
    <phoneticPr fontId="5"/>
  </si>
  <si>
    <t>アサヒチョウ</t>
  </si>
  <si>
    <t>飯豊町</t>
    <rPh sb="0" eb="3">
      <t>イイデマチ</t>
    </rPh>
    <phoneticPr fontId="5"/>
  </si>
  <si>
    <t>イイデマチ</t>
  </si>
  <si>
    <t>大石田町</t>
    <rPh sb="0" eb="4">
      <t>オオイシダマチ</t>
    </rPh>
    <phoneticPr fontId="5"/>
  </si>
  <si>
    <t>オオイシダマチ</t>
  </si>
  <si>
    <t>大江町</t>
    <rPh sb="0" eb="3">
      <t>オオエマチ</t>
    </rPh>
    <phoneticPr fontId="5"/>
  </si>
  <si>
    <t>オオエマチ</t>
  </si>
  <si>
    <t>大蔵村</t>
    <rPh sb="0" eb="2">
      <t>オオクラ</t>
    </rPh>
    <rPh sb="2" eb="3">
      <t>ムラ</t>
    </rPh>
    <phoneticPr fontId="5"/>
  </si>
  <si>
    <t>オオクラムラ</t>
  </si>
  <si>
    <t>小国町</t>
    <rPh sb="0" eb="3">
      <t>オグニマチ</t>
    </rPh>
    <phoneticPr fontId="5"/>
  </si>
  <si>
    <t>オグニマチ</t>
  </si>
  <si>
    <t>尾花沢市</t>
    <rPh sb="0" eb="4">
      <t>オバナザワシ</t>
    </rPh>
    <phoneticPr fontId="5"/>
  </si>
  <si>
    <t>オバナザワシ</t>
  </si>
  <si>
    <t>金山町</t>
    <rPh sb="0" eb="3">
      <t>カナヤマチョウ</t>
    </rPh>
    <phoneticPr fontId="5"/>
  </si>
  <si>
    <t>カナヤマチョウ</t>
  </si>
  <si>
    <t>河北町</t>
    <rPh sb="0" eb="3">
      <t>カホクチョウ</t>
    </rPh>
    <phoneticPr fontId="5"/>
  </si>
  <si>
    <t>カホクチョウ</t>
  </si>
  <si>
    <t>上山市</t>
    <rPh sb="0" eb="3">
      <t>カミノヤマシ</t>
    </rPh>
    <phoneticPr fontId="5"/>
  </si>
  <si>
    <t>カミノヤマシ</t>
  </si>
  <si>
    <t>川西町</t>
    <rPh sb="0" eb="3">
      <t>カワニシマチ</t>
    </rPh>
    <phoneticPr fontId="5"/>
  </si>
  <si>
    <t>カワニシマチ</t>
  </si>
  <si>
    <t>寒河江市</t>
    <rPh sb="0" eb="4">
      <t>サガエシ</t>
    </rPh>
    <phoneticPr fontId="5"/>
  </si>
  <si>
    <t>サガエシ</t>
  </si>
  <si>
    <t>酒田市（旧酒田市に限る。）</t>
    <rPh sb="0" eb="3">
      <t>サカタシ</t>
    </rPh>
    <rPh sb="4" eb="5">
      <t>キュウ</t>
    </rPh>
    <rPh sb="5" eb="8">
      <t>サカタシ</t>
    </rPh>
    <rPh sb="9" eb="10">
      <t>カギ</t>
    </rPh>
    <phoneticPr fontId="5"/>
  </si>
  <si>
    <t>サカタシ（キュウサカタシニカギル。）</t>
  </si>
  <si>
    <t>酒田市（旧八幡町、旧松山町、旧平田町に限る。）</t>
    <rPh sb="0" eb="3">
      <t>サカタシ</t>
    </rPh>
    <rPh sb="4" eb="5">
      <t>キュウ</t>
    </rPh>
    <rPh sb="5" eb="8">
      <t>ヤハタチョウ</t>
    </rPh>
    <rPh sb="9" eb="10">
      <t>キュウ</t>
    </rPh>
    <rPh sb="10" eb="12">
      <t>マツヤマ</t>
    </rPh>
    <rPh sb="12" eb="13">
      <t>マチ</t>
    </rPh>
    <rPh sb="14" eb="15">
      <t>キュウ</t>
    </rPh>
    <rPh sb="15" eb="17">
      <t>ヒラタ</t>
    </rPh>
    <rPh sb="17" eb="18">
      <t>チョウ</t>
    </rPh>
    <rPh sb="19" eb="20">
      <t>カギ</t>
    </rPh>
    <phoneticPr fontId="5"/>
  </si>
  <si>
    <t>サカタシ（キュウヤハタチョウ、キュウマツヤママチ、キュウヒラタチョウニカギル。）</t>
  </si>
  <si>
    <t>鮭川村</t>
    <rPh sb="0" eb="3">
      <t>サケガワムラ</t>
    </rPh>
    <phoneticPr fontId="5"/>
  </si>
  <si>
    <t>サケガワムラ</t>
  </si>
  <si>
    <t>庄内町</t>
    <rPh sb="0" eb="3">
      <t>ショウナイマチ</t>
    </rPh>
    <phoneticPr fontId="5"/>
  </si>
  <si>
    <t>ショウナイマチ</t>
  </si>
  <si>
    <t>白鷹町</t>
    <rPh sb="0" eb="3">
      <t>シラタカマチ</t>
    </rPh>
    <phoneticPr fontId="5"/>
  </si>
  <si>
    <t>シラタカマチ</t>
  </si>
  <si>
    <t>新庄市</t>
    <rPh sb="0" eb="3">
      <t>シンジョウシ</t>
    </rPh>
    <phoneticPr fontId="5"/>
  </si>
  <si>
    <t>シンジョウシ</t>
  </si>
  <si>
    <t>高畠町</t>
    <rPh sb="0" eb="3">
      <t>タカハタマチ</t>
    </rPh>
    <phoneticPr fontId="5"/>
  </si>
  <si>
    <t>タカハタマチ</t>
  </si>
  <si>
    <t>中山町</t>
    <rPh sb="0" eb="3">
      <t>チュウザンチョウ</t>
    </rPh>
    <phoneticPr fontId="5"/>
  </si>
  <si>
    <t>チュウザンチョウ</t>
  </si>
  <si>
    <t>鶴岡市</t>
    <rPh sb="0" eb="3">
      <t>ツルオカシ</t>
    </rPh>
    <phoneticPr fontId="5"/>
  </si>
  <si>
    <t>ツルオカシ</t>
  </si>
  <si>
    <t>天童市</t>
    <rPh sb="0" eb="3">
      <t>テンドウシ</t>
    </rPh>
    <phoneticPr fontId="5"/>
  </si>
  <si>
    <t>テンドウシ</t>
  </si>
  <si>
    <t>戸沢村</t>
    <rPh sb="0" eb="1">
      <t>ト</t>
    </rPh>
    <rPh sb="1" eb="3">
      <t>サワムラ</t>
    </rPh>
    <phoneticPr fontId="5"/>
  </si>
  <si>
    <t>トサワムラ</t>
  </si>
  <si>
    <t>長井市</t>
    <rPh sb="0" eb="3">
      <t>ナガイシ</t>
    </rPh>
    <phoneticPr fontId="5"/>
  </si>
  <si>
    <t>ナガイシ</t>
  </si>
  <si>
    <t>南陽市</t>
    <rPh sb="0" eb="3">
      <t>ナンヨウシ</t>
    </rPh>
    <phoneticPr fontId="5"/>
  </si>
  <si>
    <t>ナンヨウシ</t>
  </si>
  <si>
    <t>西川町</t>
    <rPh sb="0" eb="3">
      <t>ニシカワマチ</t>
    </rPh>
    <phoneticPr fontId="5"/>
  </si>
  <si>
    <t>ニシカワマチ</t>
  </si>
  <si>
    <t>東根市</t>
    <rPh sb="0" eb="3">
      <t>ヒガシネシ</t>
    </rPh>
    <phoneticPr fontId="5"/>
  </si>
  <si>
    <t>ヒガシネシ</t>
  </si>
  <si>
    <t>舟形町</t>
    <rPh sb="0" eb="3">
      <t>フナガタマチ</t>
    </rPh>
    <phoneticPr fontId="5"/>
  </si>
  <si>
    <t>フナガタマチ</t>
  </si>
  <si>
    <t>真室川町</t>
    <rPh sb="0" eb="4">
      <t>マムロガワマチ</t>
    </rPh>
    <phoneticPr fontId="5"/>
  </si>
  <si>
    <t>マムロガワマチ</t>
  </si>
  <si>
    <t>三川町</t>
    <rPh sb="0" eb="3">
      <t>ミカワマチ</t>
    </rPh>
    <phoneticPr fontId="5"/>
  </si>
  <si>
    <t>ミカワマチ</t>
  </si>
  <si>
    <t>村山市</t>
    <rPh sb="0" eb="3">
      <t>ムラヤマシ</t>
    </rPh>
    <phoneticPr fontId="5"/>
  </si>
  <si>
    <t>ムラヤマシ</t>
  </si>
  <si>
    <t>最上町</t>
    <rPh sb="0" eb="3">
      <t>モガミマチ</t>
    </rPh>
    <phoneticPr fontId="5"/>
  </si>
  <si>
    <t>モガミマチ</t>
  </si>
  <si>
    <t>山形市</t>
    <rPh sb="0" eb="3">
      <t>ヤマガタシ</t>
    </rPh>
    <phoneticPr fontId="5"/>
  </si>
  <si>
    <t>ヤマガタシ</t>
  </si>
  <si>
    <t>山辺町</t>
    <rPh sb="0" eb="3">
      <t>ヤマノベマチ</t>
    </rPh>
    <phoneticPr fontId="5"/>
  </si>
  <si>
    <t>ヤマノベマチ</t>
  </si>
  <si>
    <t>遊佐町</t>
    <rPh sb="0" eb="3">
      <t>ユザマチ</t>
    </rPh>
    <phoneticPr fontId="5"/>
  </si>
  <si>
    <t>ユザマチ</t>
  </si>
  <si>
    <t>米沢市</t>
    <rPh sb="0" eb="3">
      <t>ヨネザワシ</t>
    </rPh>
    <phoneticPr fontId="5"/>
  </si>
  <si>
    <t>ヨネザワシ</t>
  </si>
  <si>
    <t>福島県</t>
  </si>
  <si>
    <t>会津坂下町</t>
    <rPh sb="0" eb="5">
      <t>アイヅバンゲマチ</t>
    </rPh>
    <phoneticPr fontId="35"/>
  </si>
  <si>
    <t>会津美里町</t>
    <rPh sb="0" eb="5">
      <t>アイヅミサトマチ</t>
    </rPh>
    <phoneticPr fontId="35"/>
  </si>
  <si>
    <t>会津若松市</t>
    <rPh sb="0" eb="5">
      <t>アイヅワカマツシ</t>
    </rPh>
    <phoneticPr fontId="35"/>
  </si>
  <si>
    <t>浅川町</t>
    <rPh sb="0" eb="3">
      <t>アサカワマチ</t>
    </rPh>
    <phoneticPr fontId="35"/>
  </si>
  <si>
    <t>飯舘村</t>
    <rPh sb="0" eb="3">
      <t>イイタテムラ</t>
    </rPh>
    <phoneticPr fontId="35"/>
  </si>
  <si>
    <t>石川町</t>
    <rPh sb="0" eb="3">
      <t>イシカワチョウ</t>
    </rPh>
    <phoneticPr fontId="35"/>
  </si>
  <si>
    <t>泉崎村</t>
    <rPh sb="0" eb="3">
      <t>イズミザキムラ</t>
    </rPh>
    <phoneticPr fontId="35"/>
  </si>
  <si>
    <t>猪苗代町</t>
    <rPh sb="0" eb="4">
      <t>イナワシロマチ</t>
    </rPh>
    <phoneticPr fontId="35"/>
  </si>
  <si>
    <t>いわき市</t>
    <rPh sb="3" eb="4">
      <t>シ</t>
    </rPh>
    <phoneticPr fontId="35"/>
  </si>
  <si>
    <t>大熊町</t>
    <rPh sb="0" eb="3">
      <t>オオクママチ</t>
    </rPh>
    <phoneticPr fontId="35"/>
  </si>
  <si>
    <t>大玉村</t>
    <rPh sb="0" eb="3">
      <t>オオタマムラ</t>
    </rPh>
    <phoneticPr fontId="35"/>
  </si>
  <si>
    <t>鏡石町</t>
    <rPh sb="0" eb="3">
      <t>カガミイシマチ</t>
    </rPh>
    <phoneticPr fontId="35"/>
  </si>
  <si>
    <t>葛尾村</t>
    <rPh sb="0" eb="3">
      <t>カツラオムラ</t>
    </rPh>
    <phoneticPr fontId="35"/>
  </si>
  <si>
    <t>金山町</t>
    <rPh sb="0" eb="3">
      <t>カナヤマチョウ</t>
    </rPh>
    <phoneticPr fontId="35"/>
  </si>
  <si>
    <t>川内村</t>
    <rPh sb="0" eb="2">
      <t>カワウチ</t>
    </rPh>
    <rPh sb="2" eb="3">
      <t>ムラ</t>
    </rPh>
    <phoneticPr fontId="35"/>
  </si>
  <si>
    <t>川俣町</t>
    <rPh sb="0" eb="3">
      <t>カワマタマチ</t>
    </rPh>
    <phoneticPr fontId="35"/>
  </si>
  <si>
    <t>喜多方市</t>
    <rPh sb="0" eb="4">
      <t>キタカタシ</t>
    </rPh>
    <phoneticPr fontId="35"/>
  </si>
  <si>
    <t>北塩原村</t>
    <rPh sb="0" eb="4">
      <t>キタシオバラムラ</t>
    </rPh>
    <phoneticPr fontId="35"/>
  </si>
  <si>
    <t>国見町</t>
    <rPh sb="0" eb="3">
      <t>クニミマチ</t>
    </rPh>
    <phoneticPr fontId="35"/>
  </si>
  <si>
    <t>広野町</t>
    <rPh sb="0" eb="3">
      <t>コウノチョウ</t>
    </rPh>
    <phoneticPr fontId="35"/>
  </si>
  <si>
    <t>桑折町</t>
    <rPh sb="0" eb="3">
      <t>コオリマチ</t>
    </rPh>
    <phoneticPr fontId="35"/>
  </si>
  <si>
    <t>郡山市</t>
    <rPh sb="0" eb="3">
      <t>コオリヤマシ</t>
    </rPh>
    <phoneticPr fontId="35"/>
  </si>
  <si>
    <t>小野町</t>
    <rPh sb="0" eb="3">
      <t>コノチョウ</t>
    </rPh>
    <phoneticPr fontId="35"/>
  </si>
  <si>
    <t>西郷村</t>
    <rPh sb="0" eb="2">
      <t>サイゴウ</t>
    </rPh>
    <rPh sb="2" eb="3">
      <t>ムラ</t>
    </rPh>
    <phoneticPr fontId="35"/>
  </si>
  <si>
    <t>鮫川村</t>
    <rPh sb="0" eb="3">
      <t>サメガワムラ</t>
    </rPh>
    <phoneticPr fontId="35"/>
  </si>
  <si>
    <t>下郷町</t>
    <rPh sb="0" eb="3">
      <t>シモゴウマチ</t>
    </rPh>
    <phoneticPr fontId="35"/>
  </si>
  <si>
    <t>昭和村</t>
    <rPh sb="0" eb="2">
      <t>ショウワ</t>
    </rPh>
    <rPh sb="2" eb="3">
      <t>ムラ</t>
    </rPh>
    <phoneticPr fontId="35"/>
  </si>
  <si>
    <t>白河市</t>
    <rPh sb="0" eb="3">
      <t>シラカワシ</t>
    </rPh>
    <phoneticPr fontId="35"/>
  </si>
  <si>
    <t>新地町</t>
    <rPh sb="0" eb="3">
      <t>シンチマチ</t>
    </rPh>
    <phoneticPr fontId="35"/>
  </si>
  <si>
    <t>須賀川市</t>
    <rPh sb="0" eb="4">
      <t>スカガワシ</t>
    </rPh>
    <phoneticPr fontId="35"/>
  </si>
  <si>
    <t>相馬市</t>
    <rPh sb="0" eb="3">
      <t>ソウマシ</t>
    </rPh>
    <phoneticPr fontId="35"/>
  </si>
  <si>
    <t>只見町</t>
    <rPh sb="0" eb="3">
      <t>タダミマチ</t>
    </rPh>
    <phoneticPr fontId="35"/>
  </si>
  <si>
    <t>伊達市</t>
    <rPh sb="0" eb="3">
      <t>ダテシ</t>
    </rPh>
    <phoneticPr fontId="35"/>
  </si>
  <si>
    <t>棚倉町</t>
    <rPh sb="0" eb="3">
      <t>タナグラマチ</t>
    </rPh>
    <phoneticPr fontId="35"/>
  </si>
  <si>
    <t>玉川村</t>
    <rPh sb="0" eb="2">
      <t>タマガワ</t>
    </rPh>
    <rPh sb="2" eb="3">
      <t>ムラ</t>
    </rPh>
    <phoneticPr fontId="35"/>
  </si>
  <si>
    <t>田村市</t>
    <rPh sb="0" eb="3">
      <t>タムラシ</t>
    </rPh>
    <phoneticPr fontId="35"/>
  </si>
  <si>
    <t>天栄村</t>
    <rPh sb="0" eb="3">
      <t>テンエイムラ</t>
    </rPh>
    <phoneticPr fontId="35"/>
  </si>
  <si>
    <t>富岡町</t>
    <rPh sb="0" eb="3">
      <t>トミオカマチ</t>
    </rPh>
    <phoneticPr fontId="35"/>
  </si>
  <si>
    <t>中島村</t>
    <rPh sb="0" eb="2">
      <t>ナカジマ</t>
    </rPh>
    <rPh sb="2" eb="3">
      <t>ムラ</t>
    </rPh>
    <phoneticPr fontId="35"/>
  </si>
  <si>
    <t>浪江町</t>
    <rPh sb="0" eb="3">
      <t>ナミエマチ</t>
    </rPh>
    <phoneticPr fontId="35"/>
  </si>
  <si>
    <t>楢葉町</t>
    <rPh sb="0" eb="3">
      <t>ナラハマチ</t>
    </rPh>
    <phoneticPr fontId="35"/>
  </si>
  <si>
    <t>西会津町</t>
    <rPh sb="0" eb="4">
      <t>ニシアイヅマチ</t>
    </rPh>
    <phoneticPr fontId="35"/>
  </si>
  <si>
    <t>二本松市（旧東和町に限る。）</t>
    <rPh sb="0" eb="4">
      <t>ニホンマツシ</t>
    </rPh>
    <rPh sb="5" eb="6">
      <t>キュウ</t>
    </rPh>
    <rPh sb="6" eb="9">
      <t>トウワチョウ</t>
    </rPh>
    <rPh sb="10" eb="11">
      <t>カギ</t>
    </rPh>
    <phoneticPr fontId="35"/>
  </si>
  <si>
    <t>二本松市（旧二本松市、旧安達町、旧岩代町に限る。）</t>
    <rPh sb="0" eb="4">
      <t>ニホンマツシ</t>
    </rPh>
    <rPh sb="5" eb="6">
      <t>キュウ</t>
    </rPh>
    <rPh sb="6" eb="10">
      <t>ニホンマツシ</t>
    </rPh>
    <rPh sb="11" eb="12">
      <t>キュウ</t>
    </rPh>
    <rPh sb="12" eb="14">
      <t>アダチ</t>
    </rPh>
    <rPh sb="14" eb="15">
      <t>マチ</t>
    </rPh>
    <rPh sb="16" eb="17">
      <t>キュウ</t>
    </rPh>
    <rPh sb="17" eb="20">
      <t>イワシロマチ</t>
    </rPh>
    <rPh sb="21" eb="22">
      <t>カギ</t>
    </rPh>
    <phoneticPr fontId="35"/>
  </si>
  <si>
    <t>塙町</t>
    <rPh sb="0" eb="2">
      <t>ハナワマチ</t>
    </rPh>
    <phoneticPr fontId="35"/>
  </si>
  <si>
    <t>磐梯町</t>
    <rPh sb="0" eb="3">
      <t>バンダイマチ</t>
    </rPh>
    <phoneticPr fontId="35"/>
  </si>
  <si>
    <t>檜枝岐村</t>
    <rPh sb="0" eb="4">
      <t>ヒノエマタムラ</t>
    </rPh>
    <phoneticPr fontId="35"/>
  </si>
  <si>
    <t>平田村</t>
    <rPh sb="0" eb="2">
      <t>ヒラタ</t>
    </rPh>
    <rPh sb="2" eb="3">
      <t>ムラ</t>
    </rPh>
    <phoneticPr fontId="35"/>
  </si>
  <si>
    <t>福島市</t>
    <rPh sb="0" eb="3">
      <t>フクシマシ</t>
    </rPh>
    <phoneticPr fontId="35"/>
  </si>
  <si>
    <t>双葉町</t>
    <rPh sb="0" eb="3">
      <t>フタバマチ</t>
    </rPh>
    <phoneticPr fontId="35"/>
  </si>
  <si>
    <t>古殿町</t>
    <rPh sb="0" eb="3">
      <t>フルドノマチ</t>
    </rPh>
    <phoneticPr fontId="35"/>
  </si>
  <si>
    <t>三島町</t>
    <rPh sb="0" eb="2">
      <t>ミシマ</t>
    </rPh>
    <rPh sb="2" eb="3">
      <t>チョウ</t>
    </rPh>
    <phoneticPr fontId="35"/>
  </si>
  <si>
    <t>南会津町（旧田島町に限る。）</t>
    <rPh sb="0" eb="1">
      <t>ミナミ</t>
    </rPh>
    <rPh sb="1" eb="3">
      <t>アイヅ</t>
    </rPh>
    <rPh sb="3" eb="4">
      <t>チョウ</t>
    </rPh>
    <rPh sb="5" eb="6">
      <t>キュウ</t>
    </rPh>
    <rPh sb="6" eb="9">
      <t>タジママチ</t>
    </rPh>
    <rPh sb="10" eb="11">
      <t>カギ</t>
    </rPh>
    <phoneticPr fontId="35"/>
  </si>
  <si>
    <t>南会津町（旧舘岩村、旧伊南村、旧南郷村に限る。）</t>
    <rPh sb="0" eb="1">
      <t>ミナミ</t>
    </rPh>
    <rPh sb="1" eb="3">
      <t>アイヅ</t>
    </rPh>
    <rPh sb="3" eb="4">
      <t>チョウ</t>
    </rPh>
    <rPh sb="5" eb="6">
      <t>キュウ</t>
    </rPh>
    <rPh sb="6" eb="9">
      <t>タテイワムラ</t>
    </rPh>
    <rPh sb="10" eb="11">
      <t>キュウ</t>
    </rPh>
    <rPh sb="11" eb="14">
      <t>イナムラ</t>
    </rPh>
    <rPh sb="15" eb="16">
      <t>キュウ</t>
    </rPh>
    <rPh sb="16" eb="19">
      <t>ナンゴウムラ</t>
    </rPh>
    <rPh sb="20" eb="21">
      <t>カギ</t>
    </rPh>
    <phoneticPr fontId="35"/>
  </si>
  <si>
    <t>南相馬市</t>
    <rPh sb="0" eb="4">
      <t>ミナミソウマシ</t>
    </rPh>
    <phoneticPr fontId="35"/>
  </si>
  <si>
    <t>三春町</t>
    <rPh sb="0" eb="3">
      <t>ミハルマチ</t>
    </rPh>
    <phoneticPr fontId="35"/>
  </si>
  <si>
    <t>本宮市</t>
    <rPh sb="0" eb="2">
      <t>モトミヤ</t>
    </rPh>
    <rPh sb="2" eb="3">
      <t>シ</t>
    </rPh>
    <phoneticPr fontId="35"/>
  </si>
  <si>
    <t>柳津町</t>
    <rPh sb="0" eb="3">
      <t>ヤナイヅマチ</t>
    </rPh>
    <phoneticPr fontId="35"/>
  </si>
  <si>
    <t>矢吹町</t>
    <rPh sb="0" eb="3">
      <t>ヤブキマチ</t>
    </rPh>
    <phoneticPr fontId="35"/>
  </si>
  <si>
    <t>矢祭町</t>
    <rPh sb="0" eb="3">
      <t>ヤマツリマチ</t>
    </rPh>
    <phoneticPr fontId="35"/>
  </si>
  <si>
    <t>湯川村</t>
    <rPh sb="0" eb="2">
      <t>ユカワ</t>
    </rPh>
    <rPh sb="2" eb="3">
      <t>ムラ</t>
    </rPh>
    <phoneticPr fontId="35"/>
  </si>
  <si>
    <t>茨城県</t>
  </si>
  <si>
    <t>阿見町</t>
    <rPh sb="0" eb="3">
      <t>アミマチ</t>
    </rPh>
    <phoneticPr fontId="5"/>
  </si>
  <si>
    <t>アミマチ</t>
  </si>
  <si>
    <t>石岡市</t>
    <rPh sb="0" eb="3">
      <t>イシオカシ</t>
    </rPh>
    <phoneticPr fontId="5"/>
  </si>
  <si>
    <t>イシオカシ</t>
  </si>
  <si>
    <t>潮来市</t>
    <rPh sb="0" eb="3">
      <t>イタコシ</t>
    </rPh>
    <phoneticPr fontId="5"/>
  </si>
  <si>
    <t>イタコシ</t>
  </si>
  <si>
    <t>稲敷市</t>
    <rPh sb="0" eb="3">
      <t>イナシキシ</t>
    </rPh>
    <phoneticPr fontId="5"/>
  </si>
  <si>
    <t>イナシキシ</t>
  </si>
  <si>
    <t>茨城町</t>
    <rPh sb="0" eb="3">
      <t>イバラキマチ</t>
    </rPh>
    <phoneticPr fontId="5"/>
  </si>
  <si>
    <t>イバラキマチ</t>
  </si>
  <si>
    <t>牛久市</t>
    <rPh sb="0" eb="3">
      <t>ウシクシ</t>
    </rPh>
    <phoneticPr fontId="5"/>
  </si>
  <si>
    <t>ウシクシ</t>
  </si>
  <si>
    <t>大洗町</t>
    <rPh sb="0" eb="3">
      <t>オオアライマチ</t>
    </rPh>
    <phoneticPr fontId="5"/>
  </si>
  <si>
    <t>オオアライマチ</t>
  </si>
  <si>
    <t>小美玉市</t>
    <rPh sb="0" eb="4">
      <t>オミタマシ</t>
    </rPh>
    <phoneticPr fontId="5"/>
  </si>
  <si>
    <t>オミタマシ</t>
  </si>
  <si>
    <t>笠間市</t>
    <rPh sb="0" eb="3">
      <t>カサマシ</t>
    </rPh>
    <phoneticPr fontId="5"/>
  </si>
  <si>
    <t>カサマシ</t>
  </si>
  <si>
    <t>鹿嶋市</t>
    <rPh sb="0" eb="3">
      <t>カシマシ</t>
    </rPh>
    <phoneticPr fontId="5"/>
  </si>
  <si>
    <t>カシマシ</t>
  </si>
  <si>
    <t>かすみがうら市</t>
    <rPh sb="6" eb="7">
      <t>シ</t>
    </rPh>
    <phoneticPr fontId="5"/>
  </si>
  <si>
    <t>カスミガウラシ</t>
  </si>
  <si>
    <t>神栖市</t>
    <rPh sb="0" eb="3">
      <t>カミスシ</t>
    </rPh>
    <phoneticPr fontId="5"/>
  </si>
  <si>
    <t>カミスシ</t>
  </si>
  <si>
    <t>河内町</t>
    <rPh sb="0" eb="2">
      <t>カワチ</t>
    </rPh>
    <rPh sb="2" eb="3">
      <t>マチ</t>
    </rPh>
    <phoneticPr fontId="5"/>
  </si>
  <si>
    <t>カワチマチ</t>
  </si>
  <si>
    <t>北茨城市</t>
    <rPh sb="0" eb="4">
      <t>キタイバラキシ</t>
    </rPh>
    <phoneticPr fontId="5"/>
  </si>
  <si>
    <t>キタイバラキシ</t>
  </si>
  <si>
    <t>古河市</t>
    <rPh sb="0" eb="3">
      <t>コガシ</t>
    </rPh>
    <phoneticPr fontId="5"/>
  </si>
  <si>
    <t>コガシ</t>
  </si>
  <si>
    <t>五霞町</t>
    <rPh sb="0" eb="3">
      <t>ゴカマチ</t>
    </rPh>
    <phoneticPr fontId="5"/>
  </si>
  <si>
    <t>ゴカマチ</t>
  </si>
  <si>
    <t>境町</t>
    <rPh sb="0" eb="2">
      <t>サカイマチ</t>
    </rPh>
    <phoneticPr fontId="5"/>
  </si>
  <si>
    <t>サカイマチ</t>
  </si>
  <si>
    <t>桜川市</t>
    <rPh sb="0" eb="3">
      <t>サクラガワシ</t>
    </rPh>
    <phoneticPr fontId="5"/>
  </si>
  <si>
    <t>サクラガワシ</t>
  </si>
  <si>
    <t>下妻市</t>
    <rPh sb="0" eb="3">
      <t>シモツマシ</t>
    </rPh>
    <phoneticPr fontId="5"/>
  </si>
  <si>
    <t>シモツマシ</t>
  </si>
  <si>
    <t>常総市</t>
    <rPh sb="0" eb="2">
      <t>ジョウソウ</t>
    </rPh>
    <rPh sb="2" eb="3">
      <t>シ</t>
    </rPh>
    <phoneticPr fontId="5"/>
  </si>
  <si>
    <t>ジョウソウシ</t>
  </si>
  <si>
    <t>城里町（旧常北町、旧桂村に限る。）</t>
    <rPh sb="0" eb="3">
      <t>シロサトマチ</t>
    </rPh>
    <rPh sb="4" eb="5">
      <t>キュウ</t>
    </rPh>
    <rPh sb="5" eb="8">
      <t>ジョウホクマチ</t>
    </rPh>
    <rPh sb="9" eb="10">
      <t>キュウ</t>
    </rPh>
    <rPh sb="10" eb="11">
      <t>カツラ</t>
    </rPh>
    <rPh sb="11" eb="12">
      <t>ムラ</t>
    </rPh>
    <rPh sb="13" eb="14">
      <t>カギ</t>
    </rPh>
    <phoneticPr fontId="5"/>
  </si>
  <si>
    <t>シロサトマチ（キュウジョウホクマチ、キュウカツラムラニカギル。）</t>
  </si>
  <si>
    <t>城里町（旧七会村に限る。）</t>
    <rPh sb="0" eb="3">
      <t>シロサトマチ</t>
    </rPh>
    <rPh sb="4" eb="5">
      <t>キュウ</t>
    </rPh>
    <rPh sb="5" eb="8">
      <t>ナナカイムラ</t>
    </rPh>
    <rPh sb="9" eb="10">
      <t>カギ</t>
    </rPh>
    <phoneticPr fontId="5"/>
  </si>
  <si>
    <t>シロサトマチ（キュウナナカイムラニカギル。）</t>
  </si>
  <si>
    <t>大子町</t>
    <rPh sb="0" eb="3">
      <t>ダイゴマチ</t>
    </rPh>
    <phoneticPr fontId="5"/>
  </si>
  <si>
    <t>ダイゴマチ</t>
  </si>
  <si>
    <t>高萩市</t>
    <rPh sb="0" eb="3">
      <t>タカハギシ</t>
    </rPh>
    <phoneticPr fontId="5"/>
  </si>
  <si>
    <t>タカハギシ</t>
  </si>
  <si>
    <t>筑西市</t>
    <rPh sb="0" eb="3">
      <t>チクセイシ</t>
    </rPh>
    <phoneticPr fontId="5"/>
  </si>
  <si>
    <t>チクセイシ</t>
  </si>
  <si>
    <t>つくば市</t>
    <rPh sb="3" eb="4">
      <t>シ</t>
    </rPh>
    <phoneticPr fontId="5"/>
  </si>
  <si>
    <t>ツクバシ</t>
  </si>
  <si>
    <t>つくばみらい市</t>
    <rPh sb="6" eb="7">
      <t>シ</t>
    </rPh>
    <phoneticPr fontId="5"/>
  </si>
  <si>
    <t>ツクバミライシ</t>
  </si>
  <si>
    <t>土浦市（旧新治村に限る。）</t>
    <rPh sb="0" eb="3">
      <t>ツチウラシ</t>
    </rPh>
    <rPh sb="4" eb="5">
      <t>キュウ</t>
    </rPh>
    <rPh sb="5" eb="7">
      <t>ニイハリ</t>
    </rPh>
    <rPh sb="7" eb="8">
      <t>ムラ</t>
    </rPh>
    <rPh sb="9" eb="10">
      <t>カギ</t>
    </rPh>
    <phoneticPr fontId="5"/>
  </si>
  <si>
    <t>ツチウラシ（キュウニイハリムラニカギル。）</t>
  </si>
  <si>
    <t>土浦市（旧新治村を除く。）</t>
    <rPh sb="0" eb="3">
      <t>ツチウラシ</t>
    </rPh>
    <rPh sb="4" eb="5">
      <t>キュウ</t>
    </rPh>
    <rPh sb="5" eb="7">
      <t>ニイハリ</t>
    </rPh>
    <rPh sb="7" eb="8">
      <t>ムラ</t>
    </rPh>
    <rPh sb="9" eb="10">
      <t>ノゾ</t>
    </rPh>
    <phoneticPr fontId="5"/>
  </si>
  <si>
    <t>ツチウラシ（キュウニイハリムラヲノゾク。）</t>
  </si>
  <si>
    <t>東海村</t>
    <rPh sb="0" eb="3">
      <t>トウカイムラ</t>
    </rPh>
    <phoneticPr fontId="5"/>
  </si>
  <si>
    <t>トウカイムラ</t>
  </si>
  <si>
    <t>利根町</t>
    <rPh sb="0" eb="3">
      <t>トネマチ</t>
    </rPh>
    <phoneticPr fontId="5"/>
  </si>
  <si>
    <t>トネマチ</t>
  </si>
  <si>
    <t>取手市</t>
    <rPh sb="0" eb="3">
      <t>トリデシ</t>
    </rPh>
    <phoneticPr fontId="5"/>
  </si>
  <si>
    <t>トリデシ</t>
  </si>
  <si>
    <t>那珂市</t>
    <rPh sb="0" eb="3">
      <t>ナカシ</t>
    </rPh>
    <phoneticPr fontId="5"/>
  </si>
  <si>
    <t>ナカシ</t>
  </si>
  <si>
    <t>坂東市</t>
    <rPh sb="0" eb="3">
      <t>バンドウシ</t>
    </rPh>
    <phoneticPr fontId="5"/>
  </si>
  <si>
    <t>バンドウシ</t>
  </si>
  <si>
    <t>常陸太田市</t>
    <rPh sb="0" eb="5">
      <t>ヒタチオオタシ</t>
    </rPh>
    <phoneticPr fontId="5"/>
  </si>
  <si>
    <t>ヒタチオオタシ</t>
  </si>
  <si>
    <t>常陸大宮市</t>
    <rPh sb="0" eb="5">
      <t>ヒタチオオミヤシ</t>
    </rPh>
    <phoneticPr fontId="5"/>
  </si>
  <si>
    <t>ヒタチオオミヤシ</t>
  </si>
  <si>
    <t>日立市</t>
    <rPh sb="0" eb="3">
      <t>ヒタチシ</t>
    </rPh>
    <phoneticPr fontId="5"/>
  </si>
  <si>
    <t>ヒタチシ</t>
  </si>
  <si>
    <t>ひたちなか市</t>
    <rPh sb="5" eb="6">
      <t>シ</t>
    </rPh>
    <phoneticPr fontId="5"/>
  </si>
  <si>
    <t>ヒタチナカシ</t>
  </si>
  <si>
    <t>鉾田市</t>
    <rPh sb="0" eb="3">
      <t>ホコタシ</t>
    </rPh>
    <phoneticPr fontId="5"/>
  </si>
  <si>
    <t>ホコタシ</t>
  </si>
  <si>
    <t>水戸市</t>
    <rPh sb="0" eb="3">
      <t>ミトシ</t>
    </rPh>
    <phoneticPr fontId="5"/>
  </si>
  <si>
    <t>ミトシ</t>
  </si>
  <si>
    <t>美浦村</t>
    <rPh sb="0" eb="3">
      <t>ミホムラ</t>
    </rPh>
    <phoneticPr fontId="5"/>
  </si>
  <si>
    <t>ミホムラ</t>
  </si>
  <si>
    <t>守谷市</t>
    <rPh sb="0" eb="3">
      <t>モリヤシ</t>
    </rPh>
    <phoneticPr fontId="5"/>
  </si>
  <si>
    <t>モリヤシ</t>
  </si>
  <si>
    <t>八千代町</t>
    <rPh sb="0" eb="3">
      <t>ヤチヨ</t>
    </rPh>
    <rPh sb="3" eb="4">
      <t>チョウ</t>
    </rPh>
    <phoneticPr fontId="5"/>
  </si>
  <si>
    <t>ヤチヨチョウ</t>
  </si>
  <si>
    <t>結城市</t>
    <rPh sb="0" eb="3">
      <t>ユウキシ</t>
    </rPh>
    <phoneticPr fontId="5"/>
  </si>
  <si>
    <t>ユウキシ</t>
  </si>
  <si>
    <t>行方市</t>
    <rPh sb="0" eb="2">
      <t>ユクエ</t>
    </rPh>
    <rPh sb="2" eb="3">
      <t>シ</t>
    </rPh>
    <phoneticPr fontId="5"/>
  </si>
  <si>
    <t>ユクエシ</t>
  </si>
  <si>
    <t>龍ケ崎市</t>
    <rPh sb="0" eb="4">
      <t>リュウガサキシ</t>
    </rPh>
    <phoneticPr fontId="5"/>
  </si>
  <si>
    <t>リュウガサキシ</t>
  </si>
  <si>
    <t>栃木県</t>
  </si>
  <si>
    <t>足利市</t>
    <rPh sb="0" eb="3">
      <t>アシカガシ</t>
    </rPh>
    <phoneticPr fontId="5"/>
  </si>
  <si>
    <t>アシカガシ</t>
  </si>
  <si>
    <t>市貝町</t>
    <rPh sb="0" eb="3">
      <t>イチカイマチ</t>
    </rPh>
    <phoneticPr fontId="5"/>
  </si>
  <si>
    <t>イチカイマチ</t>
  </si>
  <si>
    <t>宇都宮市</t>
    <rPh sb="0" eb="4">
      <t>ウツノミヤシ</t>
    </rPh>
    <phoneticPr fontId="5"/>
  </si>
  <si>
    <t>ウツノミヤシ</t>
  </si>
  <si>
    <t>大田原市</t>
    <rPh sb="0" eb="4">
      <t>オオタワラシ</t>
    </rPh>
    <phoneticPr fontId="5"/>
  </si>
  <si>
    <t>オオタワラシ</t>
  </si>
  <si>
    <t>小山市</t>
    <rPh sb="0" eb="3">
      <t>オヤマシ</t>
    </rPh>
    <phoneticPr fontId="5"/>
  </si>
  <si>
    <t>オヤマシ</t>
  </si>
  <si>
    <t>鹿沼市</t>
    <rPh sb="0" eb="3">
      <t>カヌマシ</t>
    </rPh>
    <phoneticPr fontId="5"/>
  </si>
  <si>
    <t>カヌマシ</t>
  </si>
  <si>
    <t>上三川町</t>
    <rPh sb="0" eb="4">
      <t>カミノカワマチ</t>
    </rPh>
    <phoneticPr fontId="5"/>
  </si>
  <si>
    <t>カミノカワマチ</t>
  </si>
  <si>
    <t>さくら市</t>
    <rPh sb="3" eb="4">
      <t>シ</t>
    </rPh>
    <phoneticPr fontId="5"/>
  </si>
  <si>
    <t>サクラシ</t>
  </si>
  <si>
    <t>佐野市</t>
    <rPh sb="0" eb="3">
      <t>サノシ</t>
    </rPh>
    <phoneticPr fontId="5"/>
  </si>
  <si>
    <t>サノシ</t>
  </si>
  <si>
    <t>塩谷町</t>
    <rPh sb="0" eb="3">
      <t>シオヤマチ</t>
    </rPh>
    <phoneticPr fontId="5"/>
  </si>
  <si>
    <t>シオヤマチ</t>
  </si>
  <si>
    <t>下野市</t>
    <rPh sb="0" eb="3">
      <t>シモツケシ</t>
    </rPh>
    <phoneticPr fontId="5"/>
  </si>
  <si>
    <t>シモツケシ</t>
  </si>
  <si>
    <t>高根沢町</t>
    <rPh sb="0" eb="4">
      <t>タカネザワマチ</t>
    </rPh>
    <phoneticPr fontId="5"/>
  </si>
  <si>
    <t>タカネザワマチ</t>
  </si>
  <si>
    <t>栃木市</t>
    <rPh sb="0" eb="3">
      <t>トチギシ</t>
    </rPh>
    <phoneticPr fontId="5"/>
  </si>
  <si>
    <t>トチギシ</t>
  </si>
  <si>
    <t>那珂川町</t>
    <rPh sb="0" eb="4">
      <t>ナカガワマチ</t>
    </rPh>
    <phoneticPr fontId="5"/>
  </si>
  <si>
    <t>ナカガワマチ</t>
  </si>
  <si>
    <t>那須烏山市</t>
    <rPh sb="0" eb="5">
      <t>ナスカラスヤマシ</t>
    </rPh>
    <phoneticPr fontId="5"/>
  </si>
  <si>
    <t>ナスカラスヤマシ</t>
  </si>
  <si>
    <t>那須塩原市</t>
    <rPh sb="0" eb="5">
      <t>ナスシオバラシ</t>
    </rPh>
    <phoneticPr fontId="5"/>
  </si>
  <si>
    <t>ナスシオバラシ</t>
  </si>
  <si>
    <t>那須町</t>
    <rPh sb="0" eb="3">
      <t>ナスマチ</t>
    </rPh>
    <phoneticPr fontId="5"/>
  </si>
  <si>
    <t>ナスマチ</t>
  </si>
  <si>
    <t>日光市(旧足尾町に限る。)</t>
    <rPh sb="0" eb="3">
      <t>ニッコウシ</t>
    </rPh>
    <rPh sb="4" eb="5">
      <t>キュウ</t>
    </rPh>
    <rPh sb="5" eb="8">
      <t>アシオマチ</t>
    </rPh>
    <rPh sb="9" eb="10">
      <t>カギ</t>
    </rPh>
    <phoneticPr fontId="5"/>
  </si>
  <si>
    <t>ニッコウシ(キュウアシオマチニカギル。)</t>
  </si>
  <si>
    <t>日光市（旧栗山村に限る。）</t>
    <rPh sb="0" eb="3">
      <t>ニッコウシ</t>
    </rPh>
    <rPh sb="4" eb="5">
      <t>キュウ</t>
    </rPh>
    <rPh sb="5" eb="8">
      <t>クリヤマムラ</t>
    </rPh>
    <rPh sb="9" eb="10">
      <t>カギ</t>
    </rPh>
    <phoneticPr fontId="5"/>
  </si>
  <si>
    <t>ニッコウシ（キュウクリヤマムラニカギル。）</t>
  </si>
  <si>
    <t>日光市(旧日光市、旧今市市、旧藤原町に限る。)</t>
    <rPh sb="0" eb="3">
      <t>ニッコウシ</t>
    </rPh>
    <rPh sb="4" eb="5">
      <t>キュウ</t>
    </rPh>
    <rPh sb="5" eb="8">
      <t>ニッコウシ</t>
    </rPh>
    <rPh sb="9" eb="10">
      <t>キュウ</t>
    </rPh>
    <rPh sb="10" eb="13">
      <t>イマイチシ</t>
    </rPh>
    <rPh sb="14" eb="15">
      <t>キュウ</t>
    </rPh>
    <rPh sb="15" eb="18">
      <t>フジワラチョウ</t>
    </rPh>
    <rPh sb="19" eb="20">
      <t>カギ</t>
    </rPh>
    <phoneticPr fontId="5"/>
  </si>
  <si>
    <t>ニッコウシ(キュウニッコウシ、キュウイマイチシ、キュウフジワラチョウニカギル。)</t>
  </si>
  <si>
    <t>野木町</t>
    <rPh sb="0" eb="3">
      <t>ノギマチ</t>
    </rPh>
    <phoneticPr fontId="5"/>
  </si>
  <si>
    <t>ノギマチ</t>
  </si>
  <si>
    <t>芳賀町</t>
    <rPh sb="0" eb="3">
      <t>ハガマチ</t>
    </rPh>
    <phoneticPr fontId="5"/>
  </si>
  <si>
    <t>ハガマチ</t>
  </si>
  <si>
    <t>益子町</t>
    <rPh sb="0" eb="3">
      <t>マシコマチ</t>
    </rPh>
    <phoneticPr fontId="5"/>
  </si>
  <si>
    <t>マシコマチ</t>
  </si>
  <si>
    <t>壬生町</t>
    <rPh sb="0" eb="3">
      <t>ミブマチ</t>
    </rPh>
    <phoneticPr fontId="5"/>
  </si>
  <si>
    <t>ミブマチ</t>
  </si>
  <si>
    <t>真岡市</t>
    <rPh sb="0" eb="3">
      <t>モオカシ</t>
    </rPh>
    <phoneticPr fontId="5"/>
  </si>
  <si>
    <t>モオカシ</t>
  </si>
  <si>
    <t>茂木町</t>
    <rPh sb="0" eb="3">
      <t>モギマチ</t>
    </rPh>
    <phoneticPr fontId="5"/>
  </si>
  <si>
    <t>モギマチ</t>
  </si>
  <si>
    <t>矢板市</t>
    <rPh sb="0" eb="3">
      <t>ヤイタシ</t>
    </rPh>
    <phoneticPr fontId="5"/>
  </si>
  <si>
    <t>ヤイタシ</t>
  </si>
  <si>
    <t>群馬県</t>
  </si>
  <si>
    <t>安中市</t>
    <rPh sb="0" eb="3">
      <t>アンナカシ</t>
    </rPh>
    <phoneticPr fontId="5"/>
  </si>
  <si>
    <t>アンナカシ</t>
  </si>
  <si>
    <t>伊勢崎市</t>
    <rPh sb="0" eb="4">
      <t>イセサキシ</t>
    </rPh>
    <phoneticPr fontId="5"/>
  </si>
  <si>
    <t>イセサキシ</t>
  </si>
  <si>
    <t>板倉町</t>
    <rPh sb="0" eb="3">
      <t>イタクラマチ</t>
    </rPh>
    <phoneticPr fontId="5"/>
  </si>
  <si>
    <t>イタクラマチ</t>
  </si>
  <si>
    <t>上野村</t>
    <rPh sb="0" eb="2">
      <t>ウエノ</t>
    </rPh>
    <rPh sb="2" eb="3">
      <t>ムラ</t>
    </rPh>
    <phoneticPr fontId="5"/>
  </si>
  <si>
    <t>ウエノムラ</t>
  </si>
  <si>
    <t>邑楽町</t>
    <rPh sb="0" eb="3">
      <t>オウラマチ</t>
    </rPh>
    <phoneticPr fontId="5"/>
  </si>
  <si>
    <t>オウラマチ</t>
  </si>
  <si>
    <t>大泉町</t>
    <rPh sb="0" eb="3">
      <t>オオイズミマチ</t>
    </rPh>
    <phoneticPr fontId="5"/>
  </si>
  <si>
    <t>オオイズミマチ</t>
  </si>
  <si>
    <t>太田市</t>
    <rPh sb="0" eb="3">
      <t>オオタシ</t>
    </rPh>
    <phoneticPr fontId="5"/>
  </si>
  <si>
    <t>オオタシ</t>
  </si>
  <si>
    <t>片品村</t>
    <rPh sb="0" eb="3">
      <t>カタシナムラ</t>
    </rPh>
    <phoneticPr fontId="5"/>
  </si>
  <si>
    <t>カタシナムラ</t>
  </si>
  <si>
    <t>川場村</t>
    <rPh sb="0" eb="3">
      <t>カワバムラ</t>
    </rPh>
    <phoneticPr fontId="5"/>
  </si>
  <si>
    <t>カワバムラ</t>
  </si>
  <si>
    <t>神流町</t>
    <rPh sb="0" eb="3">
      <t>カンナマチ</t>
    </rPh>
    <phoneticPr fontId="5"/>
  </si>
  <si>
    <t>カンナマチ</t>
  </si>
  <si>
    <t>甘楽町</t>
    <rPh sb="0" eb="3">
      <t>カンラマチ</t>
    </rPh>
    <phoneticPr fontId="5"/>
  </si>
  <si>
    <t>カンラマチ</t>
  </si>
  <si>
    <t>桐生市（旧桐生市に限る。）</t>
    <rPh sb="0" eb="3">
      <t>キリュウシ</t>
    </rPh>
    <rPh sb="4" eb="5">
      <t>キュウ</t>
    </rPh>
    <rPh sb="5" eb="8">
      <t>キリュウシ</t>
    </rPh>
    <rPh sb="9" eb="10">
      <t>カギ</t>
    </rPh>
    <phoneticPr fontId="5"/>
  </si>
  <si>
    <t>キリュウシ（キュウキリュウシニカギル。）</t>
  </si>
  <si>
    <t>桐生市(旧黒保根村に限る。)</t>
    <rPh sb="0" eb="3">
      <t>キリュウシ</t>
    </rPh>
    <rPh sb="4" eb="5">
      <t>キュウ</t>
    </rPh>
    <rPh sb="5" eb="9">
      <t>クロホネムラ</t>
    </rPh>
    <rPh sb="10" eb="11">
      <t>カギ</t>
    </rPh>
    <phoneticPr fontId="5"/>
  </si>
  <si>
    <t>キリュウシ(キュウクロホネムラニカギル。)</t>
  </si>
  <si>
    <t>桐生市(旧新里村に限る。)</t>
    <rPh sb="0" eb="3">
      <t>キリュウシ</t>
    </rPh>
    <rPh sb="4" eb="5">
      <t>キュウ</t>
    </rPh>
    <rPh sb="5" eb="7">
      <t>シンザト</t>
    </rPh>
    <rPh sb="7" eb="8">
      <t>ムラ</t>
    </rPh>
    <rPh sb="9" eb="10">
      <t>カギ</t>
    </rPh>
    <phoneticPr fontId="5"/>
  </si>
  <si>
    <t>キリュウシ(キュウシンザトムラニカギル。)</t>
  </si>
  <si>
    <t>草津町</t>
    <rPh sb="0" eb="2">
      <t>クサツ</t>
    </rPh>
    <rPh sb="2" eb="3">
      <t>マチ</t>
    </rPh>
    <phoneticPr fontId="5"/>
  </si>
  <si>
    <t>クサツマチ</t>
  </si>
  <si>
    <t>渋川市</t>
    <rPh sb="0" eb="3">
      <t>シブカワシ</t>
    </rPh>
    <phoneticPr fontId="5"/>
  </si>
  <si>
    <t>シブカワシ</t>
  </si>
  <si>
    <t>下仁田町</t>
    <rPh sb="0" eb="4">
      <t>シモニタマチ</t>
    </rPh>
    <phoneticPr fontId="5"/>
  </si>
  <si>
    <t>シモニタマチ</t>
  </si>
  <si>
    <t>昭和村</t>
    <rPh sb="0" eb="2">
      <t>ショウワ</t>
    </rPh>
    <rPh sb="2" eb="3">
      <t>ムラ</t>
    </rPh>
    <phoneticPr fontId="5"/>
  </si>
  <si>
    <t>ショウワムラ</t>
  </si>
  <si>
    <t>榛東村</t>
    <rPh sb="0" eb="3">
      <t>シントウムラ</t>
    </rPh>
    <phoneticPr fontId="5"/>
  </si>
  <si>
    <t>シントウムラ</t>
  </si>
  <si>
    <t>高崎市（旧倉渕村に限る。）</t>
    <rPh sb="0" eb="3">
      <t>タカサキシ</t>
    </rPh>
    <rPh sb="4" eb="5">
      <t>キュウ</t>
    </rPh>
    <rPh sb="5" eb="8">
      <t>クラブチムラ</t>
    </rPh>
    <rPh sb="9" eb="10">
      <t>カギ</t>
    </rPh>
    <phoneticPr fontId="5"/>
  </si>
  <si>
    <t>タカサキシ（キュウクラブチムラニカギル。）</t>
  </si>
  <si>
    <t>高崎市（旧倉渕村を除く。）</t>
    <rPh sb="0" eb="3">
      <t>タカサキシ</t>
    </rPh>
    <rPh sb="4" eb="5">
      <t>キュウ</t>
    </rPh>
    <rPh sb="5" eb="8">
      <t>クラブチムラ</t>
    </rPh>
    <rPh sb="9" eb="10">
      <t>ノゾ</t>
    </rPh>
    <phoneticPr fontId="5"/>
  </si>
  <si>
    <t>タカサキシ（キュウクラブチムラヲノゾク。）</t>
  </si>
  <si>
    <t>高山村</t>
    <rPh sb="0" eb="2">
      <t>タカヤマ</t>
    </rPh>
    <rPh sb="2" eb="3">
      <t>ムラ</t>
    </rPh>
    <phoneticPr fontId="5"/>
  </si>
  <si>
    <t>タカヤマムラ</t>
  </si>
  <si>
    <t>館林市</t>
    <rPh sb="0" eb="3">
      <t>タテバヤシシ</t>
    </rPh>
    <phoneticPr fontId="5"/>
  </si>
  <si>
    <t>タテバヤシシ</t>
  </si>
  <si>
    <t>玉村町</t>
    <rPh sb="0" eb="3">
      <t>タマムラマチ</t>
    </rPh>
    <phoneticPr fontId="5"/>
  </si>
  <si>
    <t>タマムラマチ</t>
  </si>
  <si>
    <t>千代田町</t>
    <rPh sb="0" eb="4">
      <t>チヨダマチ</t>
    </rPh>
    <phoneticPr fontId="5"/>
  </si>
  <si>
    <t>チヨダマチ</t>
  </si>
  <si>
    <t>嬬恋村</t>
    <rPh sb="0" eb="3">
      <t>ツマゴイムラ</t>
    </rPh>
    <phoneticPr fontId="5"/>
  </si>
  <si>
    <t>ツマゴイムラ</t>
  </si>
  <si>
    <t>富岡市</t>
    <rPh sb="0" eb="3">
      <t>トミオカシ</t>
    </rPh>
    <phoneticPr fontId="5"/>
  </si>
  <si>
    <t>トミオカシ</t>
  </si>
  <si>
    <t>中之条町</t>
    <rPh sb="0" eb="4">
      <t>ナカノジョウマチ</t>
    </rPh>
    <phoneticPr fontId="5"/>
  </si>
  <si>
    <t>ナカノジョウマチ</t>
  </si>
  <si>
    <t>長野原町</t>
    <rPh sb="0" eb="4">
      <t>ナガノハラマチ</t>
    </rPh>
    <phoneticPr fontId="5"/>
  </si>
  <si>
    <t>ナガノハラマチ</t>
  </si>
  <si>
    <t>沼田市</t>
    <rPh sb="0" eb="3">
      <t>ヌマタシ</t>
    </rPh>
    <phoneticPr fontId="5"/>
  </si>
  <si>
    <t>ヌマタシ</t>
  </si>
  <si>
    <t>東吾妻町</t>
    <rPh sb="0" eb="4">
      <t>ヒガシアガツママチ</t>
    </rPh>
    <phoneticPr fontId="5"/>
  </si>
  <si>
    <t>ヒガシアガツママチ</t>
  </si>
  <si>
    <t>藤岡市</t>
    <rPh sb="0" eb="3">
      <t>フジオカシ</t>
    </rPh>
    <phoneticPr fontId="5"/>
  </si>
  <si>
    <t>フジオカシ</t>
  </si>
  <si>
    <t>前橋市</t>
    <rPh sb="0" eb="3">
      <t>マエバシシ</t>
    </rPh>
    <phoneticPr fontId="5"/>
  </si>
  <si>
    <t>マエバシシ</t>
  </si>
  <si>
    <t>みどり市</t>
    <rPh sb="3" eb="4">
      <t>シ</t>
    </rPh>
    <phoneticPr fontId="5"/>
  </si>
  <si>
    <t>ミドリシ</t>
  </si>
  <si>
    <t>みなかみ町</t>
    <rPh sb="4" eb="5">
      <t>マチ</t>
    </rPh>
    <phoneticPr fontId="5"/>
  </si>
  <si>
    <t>ミナカミマチ</t>
  </si>
  <si>
    <t>南牧村</t>
    <rPh sb="0" eb="3">
      <t>ミナミマキムラ</t>
    </rPh>
    <phoneticPr fontId="5"/>
  </si>
  <si>
    <t>ミナミマキムラ</t>
  </si>
  <si>
    <t>明和町</t>
    <rPh sb="0" eb="3">
      <t>メイワチョウ</t>
    </rPh>
    <phoneticPr fontId="5"/>
  </si>
  <si>
    <t>メイワチョウ</t>
  </si>
  <si>
    <t>吉岡町</t>
    <rPh sb="0" eb="3">
      <t>ヨシオカマチ</t>
    </rPh>
    <phoneticPr fontId="5"/>
  </si>
  <si>
    <t>ヨシオカマチ</t>
  </si>
  <si>
    <t>埼玉県</t>
  </si>
  <si>
    <t>上尾市</t>
    <rPh sb="0" eb="3">
      <t>アゲオシ</t>
    </rPh>
    <phoneticPr fontId="5"/>
  </si>
  <si>
    <t>アゲオシ</t>
  </si>
  <si>
    <t>朝霞市</t>
    <rPh sb="0" eb="3">
      <t>アサカシ</t>
    </rPh>
    <phoneticPr fontId="5"/>
  </si>
  <si>
    <t>アサカシ</t>
  </si>
  <si>
    <t>伊奈町</t>
    <rPh sb="0" eb="3">
      <t>イナマチ</t>
    </rPh>
    <phoneticPr fontId="5"/>
  </si>
  <si>
    <t>イナマチ</t>
  </si>
  <si>
    <t>入間市</t>
    <rPh sb="0" eb="3">
      <t>イルマシ</t>
    </rPh>
    <phoneticPr fontId="5"/>
  </si>
  <si>
    <t>イルマシ</t>
  </si>
  <si>
    <t>小鹿野町</t>
    <rPh sb="0" eb="4">
      <t>オガノマチ</t>
    </rPh>
    <phoneticPr fontId="5"/>
  </si>
  <si>
    <t>オガノマチ</t>
  </si>
  <si>
    <t>小川町</t>
    <rPh sb="0" eb="3">
      <t>オガワマチ</t>
    </rPh>
    <phoneticPr fontId="5"/>
  </si>
  <si>
    <t>オガワマチ</t>
  </si>
  <si>
    <t>桶川市</t>
    <rPh sb="0" eb="3">
      <t>オケガワシ</t>
    </rPh>
    <phoneticPr fontId="5"/>
  </si>
  <si>
    <t>オケガワシ</t>
  </si>
  <si>
    <t>越生町</t>
    <rPh sb="0" eb="3">
      <t>オゴセマチ</t>
    </rPh>
    <phoneticPr fontId="5"/>
  </si>
  <si>
    <t>オゴセマチ</t>
  </si>
  <si>
    <t>春日部市</t>
    <rPh sb="0" eb="4">
      <t>カスカベシ</t>
    </rPh>
    <phoneticPr fontId="5"/>
  </si>
  <si>
    <t>カスカベシ</t>
  </si>
  <si>
    <t>加須市</t>
    <rPh sb="0" eb="3">
      <t>カゾシ</t>
    </rPh>
    <phoneticPr fontId="5"/>
  </si>
  <si>
    <t>カゾシ</t>
  </si>
  <si>
    <t>神川町</t>
    <rPh sb="0" eb="3">
      <t>カミカワマチ</t>
    </rPh>
    <phoneticPr fontId="5"/>
  </si>
  <si>
    <t>カミカワマチ</t>
  </si>
  <si>
    <t>上里町</t>
    <rPh sb="0" eb="3">
      <t>カミサトマチ</t>
    </rPh>
    <phoneticPr fontId="5"/>
  </si>
  <si>
    <t>カミサトマチ</t>
  </si>
  <si>
    <t>川口市</t>
    <rPh sb="0" eb="3">
      <t>カワグチシ</t>
    </rPh>
    <phoneticPr fontId="5"/>
  </si>
  <si>
    <t>カワグチシ</t>
  </si>
  <si>
    <t>川越市</t>
    <rPh sb="0" eb="3">
      <t>カワゴエシ</t>
    </rPh>
    <phoneticPr fontId="5"/>
  </si>
  <si>
    <t>カワゴエシ</t>
  </si>
  <si>
    <t>川島町</t>
    <rPh sb="0" eb="3">
      <t>カワシマチョウ</t>
    </rPh>
    <phoneticPr fontId="5"/>
  </si>
  <si>
    <t>カワシマチョウ</t>
  </si>
  <si>
    <t>北本市</t>
    <rPh sb="0" eb="3">
      <t>キタモトシ</t>
    </rPh>
    <phoneticPr fontId="5"/>
  </si>
  <si>
    <t>キタモトシ</t>
  </si>
  <si>
    <t>行田市</t>
    <rPh sb="0" eb="3">
      <t>ギョウダシ</t>
    </rPh>
    <phoneticPr fontId="5"/>
  </si>
  <si>
    <t>ギョウダシ</t>
  </si>
  <si>
    <t>久喜市</t>
    <rPh sb="0" eb="3">
      <t>クキシ</t>
    </rPh>
    <phoneticPr fontId="5"/>
  </si>
  <si>
    <t>クキシ</t>
  </si>
  <si>
    <t>熊谷市</t>
    <rPh sb="0" eb="3">
      <t>クマガヤシ</t>
    </rPh>
    <phoneticPr fontId="5"/>
  </si>
  <si>
    <t>クマガヤシ</t>
  </si>
  <si>
    <t>鴻巣市</t>
    <rPh sb="0" eb="3">
      <t>コウノスシ</t>
    </rPh>
    <phoneticPr fontId="5"/>
  </si>
  <si>
    <t>コウノスシ</t>
  </si>
  <si>
    <t>越谷市</t>
    <rPh sb="0" eb="3">
      <t>コシガヤシ</t>
    </rPh>
    <phoneticPr fontId="5"/>
  </si>
  <si>
    <t>コシガヤシ</t>
  </si>
  <si>
    <t>さいたま市</t>
    <rPh sb="4" eb="5">
      <t>シ</t>
    </rPh>
    <phoneticPr fontId="5"/>
  </si>
  <si>
    <t>サイタマシ</t>
  </si>
  <si>
    <t>坂戸市</t>
    <rPh sb="0" eb="3">
      <t>サカドシ</t>
    </rPh>
    <phoneticPr fontId="5"/>
  </si>
  <si>
    <t>サカドシ</t>
  </si>
  <si>
    <t>幸手市</t>
    <rPh sb="0" eb="3">
      <t>サッテシ</t>
    </rPh>
    <phoneticPr fontId="5"/>
  </si>
  <si>
    <t>サッテシ</t>
  </si>
  <si>
    <t>狭山市</t>
    <rPh sb="0" eb="3">
      <t>サヤマシ</t>
    </rPh>
    <phoneticPr fontId="5"/>
  </si>
  <si>
    <t>サヤマシ</t>
  </si>
  <si>
    <t>志木市</t>
    <rPh sb="0" eb="3">
      <t>シキシ</t>
    </rPh>
    <phoneticPr fontId="5"/>
  </si>
  <si>
    <t>シキシ</t>
  </si>
  <si>
    <t>白岡市</t>
    <rPh sb="0" eb="3">
      <t>シラオカシ</t>
    </rPh>
    <phoneticPr fontId="5"/>
  </si>
  <si>
    <t>シラオカシ</t>
  </si>
  <si>
    <t>杉戸町</t>
    <rPh sb="0" eb="3">
      <t>スギトマチ</t>
    </rPh>
    <phoneticPr fontId="5"/>
  </si>
  <si>
    <t>スギトマチ</t>
  </si>
  <si>
    <t>草加市</t>
    <rPh sb="0" eb="3">
      <t>ソウカシ</t>
    </rPh>
    <phoneticPr fontId="5"/>
  </si>
  <si>
    <t>ソウカシ</t>
  </si>
  <si>
    <t>秩父市(旧大滝村に限る。)</t>
    <rPh sb="0" eb="3">
      <t>チチブシ</t>
    </rPh>
    <rPh sb="4" eb="5">
      <t>キュウ</t>
    </rPh>
    <rPh sb="5" eb="7">
      <t>オオタキ</t>
    </rPh>
    <rPh sb="7" eb="8">
      <t>ムラ</t>
    </rPh>
    <rPh sb="9" eb="10">
      <t>カギ</t>
    </rPh>
    <phoneticPr fontId="5"/>
  </si>
  <si>
    <t>チチブシ(キュウオオタキムラニカギル。)</t>
  </si>
  <si>
    <t>秩父市(旧秩父市、旧吉田町、旧荒川村に限る。)</t>
    <rPh sb="0" eb="3">
      <t>チチブシ</t>
    </rPh>
    <rPh sb="4" eb="5">
      <t>キュウ</t>
    </rPh>
    <rPh sb="5" eb="8">
      <t>チチブシ</t>
    </rPh>
    <rPh sb="9" eb="10">
      <t>キュウ</t>
    </rPh>
    <rPh sb="10" eb="13">
      <t>キッタチョウ</t>
    </rPh>
    <rPh sb="14" eb="15">
      <t>キュウ</t>
    </rPh>
    <rPh sb="15" eb="17">
      <t>アラカワ</t>
    </rPh>
    <rPh sb="17" eb="18">
      <t>ムラ</t>
    </rPh>
    <rPh sb="19" eb="20">
      <t>カギ</t>
    </rPh>
    <phoneticPr fontId="5"/>
  </si>
  <si>
    <t>チチブシ(キュウチチブシ、キュウキッタチョウ、キュウアラカワムラニカギル。)</t>
  </si>
  <si>
    <t>鶴ヶ島市</t>
    <rPh sb="0" eb="4">
      <t>ツルガシマシ</t>
    </rPh>
    <phoneticPr fontId="5"/>
  </si>
  <si>
    <t>ツルガシマシ</t>
  </si>
  <si>
    <t>ときがわ町</t>
    <rPh sb="4" eb="5">
      <t>マチ</t>
    </rPh>
    <phoneticPr fontId="5"/>
  </si>
  <si>
    <t>トキガワマチ</t>
  </si>
  <si>
    <t>所沢市</t>
    <rPh sb="0" eb="3">
      <t>トコロザワシ</t>
    </rPh>
    <phoneticPr fontId="5"/>
  </si>
  <si>
    <t>トコロザワシ</t>
  </si>
  <si>
    <t>戸田市</t>
    <rPh sb="0" eb="3">
      <t>トダシ</t>
    </rPh>
    <phoneticPr fontId="5"/>
  </si>
  <si>
    <t>トダシ</t>
  </si>
  <si>
    <t>長瀞町</t>
    <rPh sb="0" eb="3">
      <t>ナガトロマチ</t>
    </rPh>
    <phoneticPr fontId="5"/>
  </si>
  <si>
    <t>ナガトロマチ</t>
  </si>
  <si>
    <t>滑川町</t>
    <rPh sb="0" eb="3">
      <t>ナメカワチョウ</t>
    </rPh>
    <phoneticPr fontId="5"/>
  </si>
  <si>
    <t>ナメカワチョウ</t>
  </si>
  <si>
    <t>新座市</t>
    <rPh sb="0" eb="3">
      <t>ニイザシ</t>
    </rPh>
    <phoneticPr fontId="5"/>
  </si>
  <si>
    <t>ニイザシ</t>
  </si>
  <si>
    <t>蓮田市</t>
    <rPh sb="0" eb="3">
      <t>ハスダシ</t>
    </rPh>
    <phoneticPr fontId="5"/>
  </si>
  <si>
    <t>ハスダシ</t>
  </si>
  <si>
    <t>鳩山町</t>
    <rPh sb="0" eb="2">
      <t>ハトヤマ</t>
    </rPh>
    <rPh sb="2" eb="3">
      <t>マチ</t>
    </rPh>
    <phoneticPr fontId="5"/>
  </si>
  <si>
    <t>ハトヤママチ</t>
  </si>
  <si>
    <t>羽生市</t>
    <rPh sb="0" eb="3">
      <t>ハニュウシ</t>
    </rPh>
    <phoneticPr fontId="5"/>
  </si>
  <si>
    <t>ハニュウシ</t>
  </si>
  <si>
    <t>飯能市</t>
    <rPh sb="0" eb="3">
      <t>ハンノウシ</t>
    </rPh>
    <phoneticPr fontId="5"/>
  </si>
  <si>
    <t>ハンノウシ</t>
  </si>
  <si>
    <t>東秩父村</t>
    <rPh sb="0" eb="4">
      <t>ヒガシチチブムラ</t>
    </rPh>
    <phoneticPr fontId="5"/>
  </si>
  <si>
    <t>ヒガシチチブムラ</t>
  </si>
  <si>
    <t>東松山市</t>
    <rPh sb="0" eb="4">
      <t>ヒガシマツヤマシ</t>
    </rPh>
    <phoneticPr fontId="5"/>
  </si>
  <si>
    <t>ヒガシマツヤマシ</t>
  </si>
  <si>
    <t>日高市</t>
    <rPh sb="0" eb="3">
      <t>ヒダカシ</t>
    </rPh>
    <phoneticPr fontId="5"/>
  </si>
  <si>
    <t>ヒダカシ</t>
  </si>
  <si>
    <t>深谷市</t>
    <rPh sb="0" eb="3">
      <t>フカヤシ</t>
    </rPh>
    <phoneticPr fontId="5"/>
  </si>
  <si>
    <t>フカヤシ</t>
  </si>
  <si>
    <t>富士見市</t>
    <rPh sb="0" eb="4">
      <t>フジミシ</t>
    </rPh>
    <phoneticPr fontId="5"/>
  </si>
  <si>
    <t>フジミシ</t>
  </si>
  <si>
    <t>ふじみ野市</t>
    <rPh sb="3" eb="5">
      <t>ノシ</t>
    </rPh>
    <phoneticPr fontId="5"/>
  </si>
  <si>
    <t>フジミノシ</t>
  </si>
  <si>
    <t>本庄市</t>
    <rPh sb="0" eb="3">
      <t>ホンジョウシ</t>
    </rPh>
    <phoneticPr fontId="5"/>
  </si>
  <si>
    <t>ホンジョウシ</t>
  </si>
  <si>
    <t>三郷市</t>
    <rPh sb="0" eb="3">
      <t>ミサトシ</t>
    </rPh>
    <phoneticPr fontId="5"/>
  </si>
  <si>
    <t>ミサトシ</t>
  </si>
  <si>
    <t>皆野町</t>
    <rPh sb="0" eb="3">
      <t>ミナノマチ</t>
    </rPh>
    <phoneticPr fontId="5"/>
  </si>
  <si>
    <t>ミナノマチ</t>
  </si>
  <si>
    <t>宮代町</t>
    <rPh sb="0" eb="3">
      <t>ミヤシロマチ</t>
    </rPh>
    <phoneticPr fontId="5"/>
  </si>
  <si>
    <t>ミヤシロマチ</t>
  </si>
  <si>
    <t>三芳町</t>
    <rPh sb="0" eb="3">
      <t>ミヨシマチ</t>
    </rPh>
    <phoneticPr fontId="5"/>
  </si>
  <si>
    <t>ミヨシマチ</t>
  </si>
  <si>
    <t>毛呂山町</t>
    <rPh sb="0" eb="4">
      <t>モロヤママチ</t>
    </rPh>
    <phoneticPr fontId="5"/>
  </si>
  <si>
    <t>モロヤママチ</t>
  </si>
  <si>
    <t>八潮市</t>
    <rPh sb="0" eb="3">
      <t>ヤシオシ</t>
    </rPh>
    <phoneticPr fontId="5"/>
  </si>
  <si>
    <t>ヤシオシ</t>
  </si>
  <si>
    <t>横瀬町</t>
    <rPh sb="0" eb="3">
      <t>ヨコゼマチ</t>
    </rPh>
    <phoneticPr fontId="5"/>
  </si>
  <si>
    <t>ヨコゼマチ</t>
  </si>
  <si>
    <t>吉川市</t>
    <rPh sb="0" eb="3">
      <t>ヨシカワシ</t>
    </rPh>
    <phoneticPr fontId="5"/>
  </si>
  <si>
    <t>ヨシカワシ</t>
  </si>
  <si>
    <t>吉見町</t>
    <rPh sb="0" eb="3">
      <t>ヨシミマチ</t>
    </rPh>
    <phoneticPr fontId="5"/>
  </si>
  <si>
    <t>ヨシミマチ</t>
  </si>
  <si>
    <t>寄居町</t>
    <rPh sb="0" eb="3">
      <t>ヨリイマチ</t>
    </rPh>
    <phoneticPr fontId="5"/>
  </si>
  <si>
    <t>ヨリイマチ</t>
  </si>
  <si>
    <t>嵐山町</t>
    <rPh sb="0" eb="3">
      <t>ランザンマチ</t>
    </rPh>
    <phoneticPr fontId="5"/>
  </si>
  <si>
    <t>ランザンマチ</t>
  </si>
  <si>
    <t>和光市</t>
    <rPh sb="0" eb="3">
      <t>ワコウシ</t>
    </rPh>
    <phoneticPr fontId="5"/>
  </si>
  <si>
    <t>ワコウシ</t>
  </si>
  <si>
    <t>蕨市</t>
    <rPh sb="0" eb="2">
      <t>ワラビシ</t>
    </rPh>
    <phoneticPr fontId="5"/>
  </si>
  <si>
    <t>ワラビシ</t>
  </si>
  <si>
    <t>千葉県</t>
  </si>
  <si>
    <t>旭市</t>
    <rPh sb="0" eb="2">
      <t>アサヒシ</t>
    </rPh>
    <phoneticPr fontId="5"/>
  </si>
  <si>
    <t>アサヒシ</t>
  </si>
  <si>
    <t>我孫子市</t>
    <rPh sb="0" eb="4">
      <t>アビコシ</t>
    </rPh>
    <phoneticPr fontId="5"/>
  </si>
  <si>
    <t>アビコシ</t>
  </si>
  <si>
    <t>いすみ市</t>
    <rPh sb="3" eb="4">
      <t>シ</t>
    </rPh>
    <phoneticPr fontId="5"/>
  </si>
  <si>
    <t>イスミシ</t>
  </si>
  <si>
    <t>市川市</t>
    <rPh sb="0" eb="3">
      <t>イチカワシ</t>
    </rPh>
    <phoneticPr fontId="5"/>
  </si>
  <si>
    <t>イチカワシ</t>
  </si>
  <si>
    <t>一宮町</t>
    <rPh sb="0" eb="2">
      <t>イチノミヤ</t>
    </rPh>
    <rPh sb="2" eb="3">
      <t>マチ</t>
    </rPh>
    <phoneticPr fontId="5"/>
  </si>
  <si>
    <t>イチノミヤマチ</t>
  </si>
  <si>
    <t>市原市</t>
    <rPh sb="0" eb="3">
      <t>イチハラシ</t>
    </rPh>
    <phoneticPr fontId="5"/>
  </si>
  <si>
    <t>イチハラシ</t>
  </si>
  <si>
    <t>印西市</t>
    <rPh sb="0" eb="3">
      <t>インザイシ</t>
    </rPh>
    <phoneticPr fontId="5"/>
  </si>
  <si>
    <t>インザイシ</t>
  </si>
  <si>
    <t>浦安市</t>
    <rPh sb="0" eb="3">
      <t>ウラヤスシ</t>
    </rPh>
    <phoneticPr fontId="5"/>
  </si>
  <si>
    <t>ウラヤスシ</t>
  </si>
  <si>
    <t>大網白里市</t>
    <rPh sb="0" eb="5">
      <t>オオアミシラサトシ</t>
    </rPh>
    <phoneticPr fontId="5"/>
  </si>
  <si>
    <t>オオアミシラサトシ</t>
  </si>
  <si>
    <t>大多喜町</t>
    <rPh sb="0" eb="4">
      <t>オオタキマチ</t>
    </rPh>
    <phoneticPr fontId="5"/>
  </si>
  <si>
    <t>オオタキマチ</t>
  </si>
  <si>
    <t>御宿町</t>
    <rPh sb="0" eb="3">
      <t>オンジュクマチ</t>
    </rPh>
    <phoneticPr fontId="5"/>
  </si>
  <si>
    <t>オンジュクマチ</t>
  </si>
  <si>
    <t>柏市</t>
    <rPh sb="0" eb="2">
      <t>カシワシ</t>
    </rPh>
    <phoneticPr fontId="5"/>
  </si>
  <si>
    <t>カシワシ</t>
  </si>
  <si>
    <t>勝浦市</t>
    <rPh sb="0" eb="3">
      <t>カツウラシ</t>
    </rPh>
    <phoneticPr fontId="5"/>
  </si>
  <si>
    <t>カツウラシ</t>
  </si>
  <si>
    <t>香取市</t>
    <rPh sb="0" eb="2">
      <t>カトリ</t>
    </rPh>
    <rPh sb="2" eb="3">
      <t>シ</t>
    </rPh>
    <phoneticPr fontId="5"/>
  </si>
  <si>
    <t>カトリシ</t>
  </si>
  <si>
    <t>鎌ケ谷市</t>
    <rPh sb="0" eb="4">
      <t>カマガヤシ</t>
    </rPh>
    <phoneticPr fontId="5"/>
  </si>
  <si>
    <t>カマガヤシ</t>
  </si>
  <si>
    <t>鴨川市</t>
    <rPh sb="0" eb="3">
      <t>カモガワシ</t>
    </rPh>
    <phoneticPr fontId="5"/>
  </si>
  <si>
    <t>カモガワシ</t>
  </si>
  <si>
    <t>神崎町</t>
    <rPh sb="0" eb="2">
      <t>カンザキ</t>
    </rPh>
    <rPh sb="2" eb="3">
      <t>チョウ</t>
    </rPh>
    <phoneticPr fontId="5"/>
  </si>
  <si>
    <t>カンザキチョウ</t>
  </si>
  <si>
    <t>木更津市</t>
    <rPh sb="0" eb="4">
      <t>キサラヅシ</t>
    </rPh>
    <phoneticPr fontId="5"/>
  </si>
  <si>
    <t>キサラヅシ</t>
  </si>
  <si>
    <t>君津市</t>
    <rPh sb="0" eb="3">
      <t>キミツシ</t>
    </rPh>
    <phoneticPr fontId="5"/>
  </si>
  <si>
    <t>キミツシ</t>
  </si>
  <si>
    <t>鋸南町</t>
    <rPh sb="0" eb="3">
      <t>キョナンマチ</t>
    </rPh>
    <phoneticPr fontId="5"/>
  </si>
  <si>
    <t>キョナンマチ</t>
  </si>
  <si>
    <t>九十九里町</t>
    <rPh sb="0" eb="5">
      <t>クジュウクリマチ</t>
    </rPh>
    <phoneticPr fontId="5"/>
  </si>
  <si>
    <t>クジュウクリマチ</t>
  </si>
  <si>
    <t>栄町</t>
    <rPh sb="0" eb="2">
      <t>サカエマチ</t>
    </rPh>
    <phoneticPr fontId="5"/>
  </si>
  <si>
    <t>サカエマチ</t>
  </si>
  <si>
    <t>佐倉市</t>
    <rPh sb="0" eb="3">
      <t>サクラシ</t>
    </rPh>
    <phoneticPr fontId="5"/>
  </si>
  <si>
    <t>山武市</t>
    <rPh sb="0" eb="3">
      <t>サンムシ</t>
    </rPh>
    <phoneticPr fontId="5"/>
  </si>
  <si>
    <t>サンムシ</t>
  </si>
  <si>
    <t>酒々井町</t>
    <rPh sb="0" eb="4">
      <t>シスイマチ</t>
    </rPh>
    <phoneticPr fontId="5"/>
  </si>
  <si>
    <t>シスイマチ</t>
  </si>
  <si>
    <t>芝山町</t>
    <rPh sb="0" eb="3">
      <t>シバヤママチ</t>
    </rPh>
    <phoneticPr fontId="5"/>
  </si>
  <si>
    <t>シバヤママチ</t>
  </si>
  <si>
    <t>白子町</t>
    <rPh sb="0" eb="3">
      <t>シラコマチ</t>
    </rPh>
    <phoneticPr fontId="5"/>
  </si>
  <si>
    <t>シラコマチ</t>
  </si>
  <si>
    <t>白井市</t>
    <rPh sb="0" eb="3">
      <t>シロイシ</t>
    </rPh>
    <phoneticPr fontId="5"/>
  </si>
  <si>
    <t>シロイシ</t>
  </si>
  <si>
    <t>匝瑳市</t>
    <rPh sb="0" eb="3">
      <t>ソウサシ</t>
    </rPh>
    <phoneticPr fontId="5"/>
  </si>
  <si>
    <t>ソウサシ</t>
  </si>
  <si>
    <t>袖ケ浦市</t>
    <rPh sb="0" eb="4">
      <t>ソデガウラシ</t>
    </rPh>
    <phoneticPr fontId="5"/>
  </si>
  <si>
    <t>ソデガウラシ</t>
  </si>
  <si>
    <t>多古町</t>
    <rPh sb="0" eb="3">
      <t>タコマチ</t>
    </rPh>
    <phoneticPr fontId="5"/>
  </si>
  <si>
    <t>タコマチ</t>
  </si>
  <si>
    <t>館山市</t>
    <rPh sb="0" eb="3">
      <t>タテヤマシ</t>
    </rPh>
    <phoneticPr fontId="5"/>
  </si>
  <si>
    <t>タテヤマシ</t>
  </si>
  <si>
    <t>千葉市</t>
    <rPh sb="0" eb="3">
      <t>チバシ</t>
    </rPh>
    <phoneticPr fontId="5"/>
  </si>
  <si>
    <t>チバシ</t>
  </si>
  <si>
    <t>銚子市</t>
    <rPh sb="0" eb="3">
      <t>チョウシシ</t>
    </rPh>
    <phoneticPr fontId="5"/>
  </si>
  <si>
    <t>チョウシシ</t>
  </si>
  <si>
    <t>長生村</t>
    <rPh sb="0" eb="3">
      <t>チョウセイムラ</t>
    </rPh>
    <phoneticPr fontId="5"/>
  </si>
  <si>
    <t>チョウセイムラ</t>
  </si>
  <si>
    <t>長南町</t>
    <rPh sb="0" eb="3">
      <t>チョウナンマチ</t>
    </rPh>
    <phoneticPr fontId="5"/>
  </si>
  <si>
    <t>チョウナンマチ</t>
  </si>
  <si>
    <t>東金市</t>
    <rPh sb="0" eb="3">
      <t>トウガネシ</t>
    </rPh>
    <phoneticPr fontId="5"/>
  </si>
  <si>
    <t>トウガネシ</t>
  </si>
  <si>
    <t>東庄町</t>
    <rPh sb="0" eb="3">
      <t>トウノショウマチ</t>
    </rPh>
    <phoneticPr fontId="5"/>
  </si>
  <si>
    <t>トウノショウマチ</t>
  </si>
  <si>
    <t>富里市</t>
    <rPh sb="0" eb="3">
      <t>トミサトシ</t>
    </rPh>
    <phoneticPr fontId="5"/>
  </si>
  <si>
    <t>トミサトシ</t>
  </si>
  <si>
    <t>長柄町</t>
    <rPh sb="0" eb="3">
      <t>ナガラマチ</t>
    </rPh>
    <phoneticPr fontId="5"/>
  </si>
  <si>
    <t>ナガラマチ</t>
  </si>
  <si>
    <t>流山市</t>
    <rPh sb="0" eb="3">
      <t>ナガレヤマシ</t>
    </rPh>
    <phoneticPr fontId="5"/>
  </si>
  <si>
    <t>ナガレヤマシ</t>
  </si>
  <si>
    <t>習志野市</t>
    <rPh sb="0" eb="4">
      <t>ナラシノシ</t>
    </rPh>
    <phoneticPr fontId="5"/>
  </si>
  <si>
    <t>ナラシノシ</t>
  </si>
  <si>
    <t>成田市</t>
    <rPh sb="0" eb="3">
      <t>ナリタシ</t>
    </rPh>
    <phoneticPr fontId="5"/>
  </si>
  <si>
    <t>ナリタシ</t>
  </si>
  <si>
    <t>野田市</t>
    <rPh sb="0" eb="3">
      <t>ノダシ</t>
    </rPh>
    <phoneticPr fontId="5"/>
  </si>
  <si>
    <t>ノダシ</t>
  </si>
  <si>
    <t>富津市</t>
    <rPh sb="0" eb="3">
      <t>フッツシ</t>
    </rPh>
    <phoneticPr fontId="5"/>
  </si>
  <si>
    <t>フッツシ</t>
  </si>
  <si>
    <t>船橋市</t>
    <rPh sb="0" eb="3">
      <t>フナバシシ</t>
    </rPh>
    <phoneticPr fontId="5"/>
  </si>
  <si>
    <t>フナバシシ</t>
  </si>
  <si>
    <t>松戸市</t>
    <rPh sb="0" eb="3">
      <t>マツドシ</t>
    </rPh>
    <phoneticPr fontId="5"/>
  </si>
  <si>
    <t>マツドシ</t>
  </si>
  <si>
    <t>南房総市</t>
    <rPh sb="0" eb="1">
      <t>ミナミ</t>
    </rPh>
    <rPh sb="1" eb="3">
      <t>ボウソウ</t>
    </rPh>
    <rPh sb="3" eb="4">
      <t>シ</t>
    </rPh>
    <phoneticPr fontId="5"/>
  </si>
  <si>
    <t>ミナミボウソウシ</t>
  </si>
  <si>
    <t>睦沢町</t>
    <rPh sb="0" eb="3">
      <t>ムツザワマチ</t>
    </rPh>
    <phoneticPr fontId="5"/>
  </si>
  <si>
    <t>ムツザワマチ</t>
  </si>
  <si>
    <t>茂原市</t>
    <rPh sb="0" eb="3">
      <t>モバラシ</t>
    </rPh>
    <phoneticPr fontId="5"/>
  </si>
  <si>
    <t>モバラシ</t>
  </si>
  <si>
    <t>八街市</t>
    <rPh sb="0" eb="3">
      <t>ヤチマタシ</t>
    </rPh>
    <phoneticPr fontId="5"/>
  </si>
  <si>
    <t>ヤチマタシ</t>
  </si>
  <si>
    <t>八千代市</t>
    <rPh sb="0" eb="4">
      <t>ヤチヨシ</t>
    </rPh>
    <phoneticPr fontId="5"/>
  </si>
  <si>
    <t>ヤチヨシ</t>
  </si>
  <si>
    <t>横芝光町</t>
    <rPh sb="0" eb="4">
      <t>ヨコシバヒカリマチ</t>
    </rPh>
    <phoneticPr fontId="5"/>
  </si>
  <si>
    <t>ヨコシバヒカリマチ</t>
  </si>
  <si>
    <t>四街道市</t>
    <rPh sb="0" eb="4">
      <t>ヨツカイドウシ</t>
    </rPh>
    <phoneticPr fontId="5"/>
  </si>
  <si>
    <t>ヨツカイドウシ</t>
  </si>
  <si>
    <t>東京都</t>
  </si>
  <si>
    <t>東京23区</t>
    <rPh sb="0" eb="2">
      <t>トウキョウ</t>
    </rPh>
    <rPh sb="4" eb="5">
      <t>ク</t>
    </rPh>
    <phoneticPr fontId="5"/>
  </si>
  <si>
    <t>トウキョウ23ク</t>
  </si>
  <si>
    <t>青ヶ島村</t>
    <rPh sb="0" eb="4">
      <t>アオガシマムラ</t>
    </rPh>
    <phoneticPr fontId="5"/>
  </si>
  <si>
    <t>アオガシマムラ</t>
  </si>
  <si>
    <t>昭島市</t>
    <rPh sb="0" eb="3">
      <t>アキシマシ</t>
    </rPh>
    <phoneticPr fontId="5"/>
  </si>
  <si>
    <t>アキシマシ</t>
  </si>
  <si>
    <t>あきる野市</t>
    <rPh sb="3" eb="5">
      <t>ノシ</t>
    </rPh>
    <phoneticPr fontId="5"/>
  </si>
  <si>
    <t>アキルノシ</t>
  </si>
  <si>
    <t>稲城市</t>
    <rPh sb="0" eb="3">
      <t>イナギシ</t>
    </rPh>
    <phoneticPr fontId="5"/>
  </si>
  <si>
    <t>イナギシ</t>
  </si>
  <si>
    <t>青梅市</t>
    <rPh sb="0" eb="3">
      <t>オウメシ</t>
    </rPh>
    <phoneticPr fontId="5"/>
  </si>
  <si>
    <t>オウメシ</t>
  </si>
  <si>
    <t>大島町</t>
    <rPh sb="0" eb="2">
      <t>オオシマ</t>
    </rPh>
    <rPh sb="2" eb="3">
      <t>マチ</t>
    </rPh>
    <phoneticPr fontId="5"/>
  </si>
  <si>
    <t>オオシママチ</t>
  </si>
  <si>
    <t>小笠原村</t>
    <rPh sb="0" eb="4">
      <t>オガサワラムラ</t>
    </rPh>
    <phoneticPr fontId="5"/>
  </si>
  <si>
    <t>オガサワラムラ</t>
  </si>
  <si>
    <t>奥多摩町</t>
    <rPh sb="0" eb="4">
      <t>オクタママチ</t>
    </rPh>
    <phoneticPr fontId="5"/>
  </si>
  <si>
    <t>オクタママチ</t>
  </si>
  <si>
    <t>清瀬市</t>
    <rPh sb="0" eb="3">
      <t>キヨセシ</t>
    </rPh>
    <phoneticPr fontId="5"/>
  </si>
  <si>
    <t>キヨセシ</t>
  </si>
  <si>
    <t>国立市</t>
    <rPh sb="0" eb="3">
      <t>クニタチシ</t>
    </rPh>
    <phoneticPr fontId="5"/>
  </si>
  <si>
    <t>クニタチシ</t>
  </si>
  <si>
    <t>神津島村</t>
    <rPh sb="0" eb="4">
      <t>コウヅシマムラ</t>
    </rPh>
    <phoneticPr fontId="5"/>
  </si>
  <si>
    <t>コウヅシマムラ</t>
  </si>
  <si>
    <t>小金井市</t>
    <rPh sb="0" eb="4">
      <t>コガネイシ</t>
    </rPh>
    <phoneticPr fontId="5"/>
  </si>
  <si>
    <t>コガネイシ</t>
  </si>
  <si>
    <t>国分寺市</t>
    <rPh sb="0" eb="4">
      <t>コクブンジシ</t>
    </rPh>
    <phoneticPr fontId="5"/>
  </si>
  <si>
    <t>コクブンジシ</t>
  </si>
  <si>
    <t>小平市</t>
    <rPh sb="0" eb="3">
      <t>コダイラシ</t>
    </rPh>
    <phoneticPr fontId="5"/>
  </si>
  <si>
    <t>コダイラシ</t>
  </si>
  <si>
    <t>狛江市</t>
    <rPh sb="0" eb="3">
      <t>コマエシ</t>
    </rPh>
    <phoneticPr fontId="5"/>
  </si>
  <si>
    <t>コマエシ</t>
  </si>
  <si>
    <t>新島村</t>
    <rPh sb="0" eb="1">
      <t>シン</t>
    </rPh>
    <rPh sb="1" eb="3">
      <t>シマムラ</t>
    </rPh>
    <phoneticPr fontId="5"/>
  </si>
  <si>
    <t>シンシマムラ</t>
  </si>
  <si>
    <t>立川市</t>
    <rPh sb="0" eb="3">
      <t>タチカワシ</t>
    </rPh>
    <phoneticPr fontId="5"/>
  </si>
  <si>
    <t>タチカワシ</t>
  </si>
  <si>
    <t>多摩市</t>
    <rPh sb="0" eb="3">
      <t>タマシ</t>
    </rPh>
    <phoneticPr fontId="5"/>
  </si>
  <si>
    <t>タマシ</t>
  </si>
  <si>
    <t>調布市</t>
    <rPh sb="0" eb="3">
      <t>チョウフシ</t>
    </rPh>
    <phoneticPr fontId="5"/>
  </si>
  <si>
    <t>チョウフシ</t>
  </si>
  <si>
    <t>西東京市</t>
    <rPh sb="0" eb="4">
      <t>ニシトウキョウシ</t>
    </rPh>
    <phoneticPr fontId="5"/>
  </si>
  <si>
    <t>ニシトウキョウシ</t>
  </si>
  <si>
    <t>八王子市</t>
    <rPh sb="0" eb="4">
      <t>ハチオウジシ</t>
    </rPh>
    <phoneticPr fontId="5"/>
  </si>
  <si>
    <t>ハチオウジシ</t>
  </si>
  <si>
    <t>八丈町</t>
    <rPh sb="0" eb="3">
      <t>ハチジョウマチ</t>
    </rPh>
    <phoneticPr fontId="5"/>
  </si>
  <si>
    <t>ハチジョウマチ</t>
  </si>
  <si>
    <t>羽村市</t>
    <rPh sb="0" eb="3">
      <t>ハムラシ</t>
    </rPh>
    <phoneticPr fontId="5"/>
  </si>
  <si>
    <t>ハムラシ</t>
  </si>
  <si>
    <t>東久留米市</t>
    <rPh sb="0" eb="5">
      <t>ヒガシクルメシ</t>
    </rPh>
    <phoneticPr fontId="5"/>
  </si>
  <si>
    <t>ヒガシクルメシ</t>
  </si>
  <si>
    <t>東村山市</t>
    <rPh sb="0" eb="4">
      <t>ヒガシムラヤマシ</t>
    </rPh>
    <phoneticPr fontId="5"/>
  </si>
  <si>
    <t>ヒガシムラヤマシ</t>
  </si>
  <si>
    <t>東大和市</t>
    <rPh sb="0" eb="4">
      <t>ヒガシヤマトシ</t>
    </rPh>
    <phoneticPr fontId="5"/>
  </si>
  <si>
    <t>ヒガシヤマトシ</t>
  </si>
  <si>
    <t>日野市</t>
    <rPh sb="0" eb="3">
      <t>ヒノシ</t>
    </rPh>
    <phoneticPr fontId="5"/>
  </si>
  <si>
    <t>ヒノシ</t>
  </si>
  <si>
    <t>日の出町</t>
    <rPh sb="0" eb="1">
      <t>ヒ</t>
    </rPh>
    <rPh sb="2" eb="4">
      <t>デマチ</t>
    </rPh>
    <phoneticPr fontId="5"/>
  </si>
  <si>
    <t>ヒノデマチ</t>
  </si>
  <si>
    <t>檜原村</t>
    <rPh sb="0" eb="3">
      <t>ヒノハラムラ</t>
    </rPh>
    <phoneticPr fontId="5"/>
  </si>
  <si>
    <t>ヒノハラムラ</t>
  </si>
  <si>
    <t>府中市</t>
    <rPh sb="0" eb="3">
      <t>フチュウシ</t>
    </rPh>
    <phoneticPr fontId="5"/>
  </si>
  <si>
    <t>フチュウシ</t>
  </si>
  <si>
    <t>福生市</t>
    <rPh sb="0" eb="3">
      <t>フッサシ</t>
    </rPh>
    <phoneticPr fontId="5"/>
  </si>
  <si>
    <t>フッサシ</t>
  </si>
  <si>
    <t>町田市</t>
    <rPh sb="0" eb="3">
      <t>マチダシ</t>
    </rPh>
    <phoneticPr fontId="5"/>
  </si>
  <si>
    <t>マチダシ</t>
  </si>
  <si>
    <t>御蔵島村</t>
    <rPh sb="0" eb="4">
      <t>ミクラジマムラ</t>
    </rPh>
    <phoneticPr fontId="5"/>
  </si>
  <si>
    <t>ミクラジマムラ</t>
  </si>
  <si>
    <t>瑞穂町</t>
    <rPh sb="0" eb="3">
      <t>ミズホチョウ</t>
    </rPh>
    <phoneticPr fontId="5"/>
  </si>
  <si>
    <t>ミズホチョウ</t>
  </si>
  <si>
    <t>三鷹市</t>
    <rPh sb="0" eb="3">
      <t>ミタカシ</t>
    </rPh>
    <phoneticPr fontId="5"/>
  </si>
  <si>
    <t>ミタカシ</t>
  </si>
  <si>
    <t>三宅村</t>
    <rPh sb="0" eb="2">
      <t>ミヤケ</t>
    </rPh>
    <rPh sb="2" eb="3">
      <t>ムラ</t>
    </rPh>
    <phoneticPr fontId="5"/>
  </si>
  <si>
    <t>ミヤケムラ</t>
  </si>
  <si>
    <t>武蔵野市</t>
    <rPh sb="0" eb="4">
      <t>ムサシノシ</t>
    </rPh>
    <phoneticPr fontId="5"/>
  </si>
  <si>
    <t>ムサシノシ</t>
  </si>
  <si>
    <t>武蔵村山市</t>
    <rPh sb="0" eb="5">
      <t>ムサシムラヤマシ</t>
    </rPh>
    <phoneticPr fontId="5"/>
  </si>
  <si>
    <t>ムサシムラヤマシ</t>
  </si>
  <si>
    <t>利島村</t>
    <rPh sb="0" eb="1">
      <t>リ</t>
    </rPh>
    <rPh sb="1" eb="3">
      <t>シマムラ</t>
    </rPh>
    <phoneticPr fontId="5"/>
  </si>
  <si>
    <t>リシマムラ</t>
  </si>
  <si>
    <t>神奈川県</t>
  </si>
  <si>
    <t>愛川町</t>
    <rPh sb="0" eb="3">
      <t>アイカワマチ</t>
    </rPh>
    <phoneticPr fontId="5"/>
  </si>
  <si>
    <t>アイカワマチ</t>
  </si>
  <si>
    <t>厚木市</t>
    <rPh sb="0" eb="3">
      <t>アツギシ</t>
    </rPh>
    <phoneticPr fontId="5"/>
  </si>
  <si>
    <t>アツギシ</t>
  </si>
  <si>
    <t>綾瀬市</t>
    <rPh sb="0" eb="3">
      <t>アヤセシ</t>
    </rPh>
    <phoneticPr fontId="5"/>
  </si>
  <si>
    <t>アヤセシ</t>
  </si>
  <si>
    <t>伊勢原市</t>
    <rPh sb="0" eb="4">
      <t>イセハラシ</t>
    </rPh>
    <phoneticPr fontId="5"/>
  </si>
  <si>
    <t>イセハラシ</t>
  </si>
  <si>
    <t>海老名市</t>
    <rPh sb="0" eb="4">
      <t>エビナシ</t>
    </rPh>
    <phoneticPr fontId="5"/>
  </si>
  <si>
    <t>エビナシ</t>
  </si>
  <si>
    <t>大磯町</t>
    <rPh sb="0" eb="3">
      <t>オオイソマチ</t>
    </rPh>
    <phoneticPr fontId="5"/>
  </si>
  <si>
    <t>オオイソマチ</t>
  </si>
  <si>
    <t>大井町</t>
    <rPh sb="0" eb="2">
      <t>オオイ</t>
    </rPh>
    <rPh sb="2" eb="3">
      <t>チョウ</t>
    </rPh>
    <phoneticPr fontId="5"/>
  </si>
  <si>
    <t>オオイチョウ</t>
  </si>
  <si>
    <t>小田原市</t>
    <rPh sb="0" eb="4">
      <t>オダワラシ</t>
    </rPh>
    <phoneticPr fontId="5"/>
  </si>
  <si>
    <t>オダワラシ</t>
  </si>
  <si>
    <t>開成町</t>
    <rPh sb="0" eb="3">
      <t>カイセイマチ</t>
    </rPh>
    <phoneticPr fontId="5"/>
  </si>
  <si>
    <t>カイセイマチ</t>
  </si>
  <si>
    <t>鎌倉市</t>
    <rPh sb="0" eb="3">
      <t>カマクラシ</t>
    </rPh>
    <phoneticPr fontId="5"/>
  </si>
  <si>
    <t>カマクラシ</t>
  </si>
  <si>
    <t>川崎市</t>
    <rPh sb="0" eb="3">
      <t>カワサキシ</t>
    </rPh>
    <phoneticPr fontId="5"/>
  </si>
  <si>
    <t>カワサキシ</t>
  </si>
  <si>
    <t>清川村</t>
    <rPh sb="0" eb="3">
      <t>キヨカワムラ</t>
    </rPh>
    <phoneticPr fontId="5"/>
  </si>
  <si>
    <t>キヨカワムラ</t>
  </si>
  <si>
    <t>相模原市</t>
    <rPh sb="0" eb="4">
      <t>サガミハラシ</t>
    </rPh>
    <phoneticPr fontId="5"/>
  </si>
  <si>
    <t>サガミハラシ</t>
  </si>
  <si>
    <t>座間市</t>
    <rPh sb="0" eb="3">
      <t>ザマシ</t>
    </rPh>
    <phoneticPr fontId="5"/>
  </si>
  <si>
    <t>ザマシ</t>
  </si>
  <si>
    <t>寒川町</t>
    <rPh sb="0" eb="3">
      <t>サムカワマチ</t>
    </rPh>
    <phoneticPr fontId="5"/>
  </si>
  <si>
    <t>サムカワマチ</t>
  </si>
  <si>
    <t>逗子市</t>
    <rPh sb="0" eb="3">
      <t>ズシシ</t>
    </rPh>
    <phoneticPr fontId="5"/>
  </si>
  <si>
    <t>ズシシ</t>
  </si>
  <si>
    <t>茅ヶ崎市</t>
    <rPh sb="0" eb="4">
      <t>チガサキシ</t>
    </rPh>
    <phoneticPr fontId="5"/>
  </si>
  <si>
    <t>チガサキシ</t>
  </si>
  <si>
    <t>中井町</t>
    <rPh sb="0" eb="3">
      <t>ナカイマチ</t>
    </rPh>
    <phoneticPr fontId="5"/>
  </si>
  <si>
    <t>ナカイマチ</t>
  </si>
  <si>
    <t>二宮町</t>
    <rPh sb="0" eb="3">
      <t>ニノミヤマチ</t>
    </rPh>
    <phoneticPr fontId="5"/>
  </si>
  <si>
    <t>ニノミヤマチ</t>
  </si>
  <si>
    <t>箱根町</t>
    <rPh sb="0" eb="3">
      <t>ハコネマチ</t>
    </rPh>
    <phoneticPr fontId="5"/>
  </si>
  <si>
    <t>ハコネマチ</t>
  </si>
  <si>
    <t>秦野市</t>
    <rPh sb="0" eb="3">
      <t>ハダノシ</t>
    </rPh>
    <phoneticPr fontId="5"/>
  </si>
  <si>
    <t>ハダノシ</t>
  </si>
  <si>
    <t>葉山町</t>
    <rPh sb="0" eb="3">
      <t>ハヤママチ</t>
    </rPh>
    <phoneticPr fontId="5"/>
  </si>
  <si>
    <t>ハヤママチ</t>
  </si>
  <si>
    <t>平塚市</t>
    <rPh sb="0" eb="3">
      <t>ヒラツカシ</t>
    </rPh>
    <phoneticPr fontId="5"/>
  </si>
  <si>
    <t>ヒラツカシ</t>
  </si>
  <si>
    <t>藤沢市</t>
    <rPh sb="0" eb="3">
      <t>フジサワシ</t>
    </rPh>
    <phoneticPr fontId="5"/>
  </si>
  <si>
    <t>フジサワシ</t>
  </si>
  <si>
    <t>松田町</t>
    <rPh sb="0" eb="3">
      <t>マツダマチ</t>
    </rPh>
    <phoneticPr fontId="5"/>
  </si>
  <si>
    <t>マツダマチ</t>
  </si>
  <si>
    <t>真鶴町</t>
    <rPh sb="0" eb="3">
      <t>マナツルマチ</t>
    </rPh>
    <phoneticPr fontId="5"/>
  </si>
  <si>
    <t>マナツルマチ</t>
  </si>
  <si>
    <t>三浦市</t>
    <rPh sb="0" eb="3">
      <t>ミウラシ</t>
    </rPh>
    <phoneticPr fontId="5"/>
  </si>
  <si>
    <t>ミウラシ</t>
  </si>
  <si>
    <t>南足柄市</t>
    <rPh sb="0" eb="4">
      <t>ミナミアシガラシ</t>
    </rPh>
    <phoneticPr fontId="5"/>
  </si>
  <si>
    <t>ミナミアシガラシ</t>
  </si>
  <si>
    <t>山北町</t>
    <rPh sb="0" eb="3">
      <t>ヤマキタマチ</t>
    </rPh>
    <phoneticPr fontId="5"/>
  </si>
  <si>
    <t>ヤマキタマチ</t>
  </si>
  <si>
    <t>大和市</t>
    <rPh sb="0" eb="3">
      <t>ヤマトシ</t>
    </rPh>
    <phoneticPr fontId="5"/>
  </si>
  <si>
    <t>ヤマトシ</t>
  </si>
  <si>
    <t>湯河原町</t>
    <rPh sb="0" eb="4">
      <t>ユガワラマチ</t>
    </rPh>
    <phoneticPr fontId="5"/>
  </si>
  <si>
    <t>ユガワラマチ</t>
  </si>
  <si>
    <t>横須賀市</t>
    <rPh sb="0" eb="4">
      <t>ヨコスカシ</t>
    </rPh>
    <phoneticPr fontId="5"/>
  </si>
  <si>
    <t>ヨコスカシ</t>
  </si>
  <si>
    <t>横浜市</t>
    <rPh sb="0" eb="3">
      <t>ヨコハマシ</t>
    </rPh>
    <phoneticPr fontId="5"/>
  </si>
  <si>
    <t>ヨコハマシ</t>
  </si>
  <si>
    <t>新潟県</t>
  </si>
  <si>
    <t>阿賀町</t>
    <rPh sb="0" eb="2">
      <t>アガ</t>
    </rPh>
    <rPh sb="2" eb="3">
      <t>チョウ</t>
    </rPh>
    <phoneticPr fontId="5"/>
  </si>
  <si>
    <t>アガチョウ</t>
  </si>
  <si>
    <t>阿賀野市</t>
    <rPh sb="0" eb="3">
      <t>アガノ</t>
    </rPh>
    <rPh sb="3" eb="4">
      <t>シ</t>
    </rPh>
    <phoneticPr fontId="5"/>
  </si>
  <si>
    <t>アガノシ</t>
  </si>
  <si>
    <t>粟島浦村</t>
    <rPh sb="0" eb="4">
      <t>アワシマウラムラ</t>
    </rPh>
    <phoneticPr fontId="5"/>
  </si>
  <si>
    <t>アワシマウラムラ</t>
  </si>
  <si>
    <t>出雲崎町</t>
    <rPh sb="0" eb="4">
      <t>イズモザキマチ</t>
    </rPh>
    <phoneticPr fontId="5"/>
  </si>
  <si>
    <t>イズモザキマチ</t>
  </si>
  <si>
    <t>糸魚川市</t>
    <rPh sb="0" eb="4">
      <t>イトイガワシ</t>
    </rPh>
    <phoneticPr fontId="5"/>
  </si>
  <si>
    <t>イトイガワシ</t>
  </si>
  <si>
    <t>魚沼市</t>
    <rPh sb="0" eb="3">
      <t>ウオヌマシ</t>
    </rPh>
    <phoneticPr fontId="5"/>
  </si>
  <si>
    <t>ウオヌマシ</t>
  </si>
  <si>
    <t>小千谷市</t>
    <rPh sb="0" eb="4">
      <t>オヂヤシ</t>
    </rPh>
    <phoneticPr fontId="5"/>
  </si>
  <si>
    <t>オヂヤシ</t>
  </si>
  <si>
    <t>柏崎市</t>
    <rPh sb="0" eb="3">
      <t>カシワザキシ</t>
    </rPh>
    <phoneticPr fontId="5"/>
  </si>
  <si>
    <t>カシワザキシ</t>
  </si>
  <si>
    <t>加茂市</t>
    <rPh sb="0" eb="3">
      <t>カモシ</t>
    </rPh>
    <phoneticPr fontId="5"/>
  </si>
  <si>
    <t>カモシ</t>
  </si>
  <si>
    <t>刈羽村</t>
    <rPh sb="0" eb="3">
      <t>カリワムラ</t>
    </rPh>
    <phoneticPr fontId="5"/>
  </si>
  <si>
    <t>カリワムラ</t>
  </si>
  <si>
    <t>五泉市</t>
    <rPh sb="0" eb="3">
      <t>ゴセンシ</t>
    </rPh>
    <phoneticPr fontId="5"/>
  </si>
  <si>
    <t>ゴセンシ</t>
  </si>
  <si>
    <t>佐渡市</t>
    <rPh sb="0" eb="3">
      <t>サドシ</t>
    </rPh>
    <phoneticPr fontId="5"/>
  </si>
  <si>
    <t>サドシ</t>
  </si>
  <si>
    <t>三条市</t>
    <rPh sb="0" eb="3">
      <t>サンジョウシ</t>
    </rPh>
    <phoneticPr fontId="5"/>
  </si>
  <si>
    <t>サンジョウシ</t>
  </si>
  <si>
    <t>新発田市</t>
    <rPh sb="0" eb="4">
      <t>シバタシ</t>
    </rPh>
    <phoneticPr fontId="5"/>
  </si>
  <si>
    <t>シバタシ</t>
  </si>
  <si>
    <t>上越市</t>
    <rPh sb="0" eb="3">
      <t>ジョウエツシ</t>
    </rPh>
    <phoneticPr fontId="5"/>
  </si>
  <si>
    <t>ジョウエツシ</t>
  </si>
  <si>
    <t>聖籠町</t>
    <rPh sb="0" eb="3">
      <t>セイロマチ</t>
    </rPh>
    <phoneticPr fontId="5"/>
  </si>
  <si>
    <t>セイロマチ</t>
  </si>
  <si>
    <t>関川村</t>
    <rPh sb="0" eb="2">
      <t>セキカワ</t>
    </rPh>
    <rPh sb="2" eb="3">
      <t>ムラ</t>
    </rPh>
    <phoneticPr fontId="5"/>
  </si>
  <si>
    <t>セキカワムラ</t>
  </si>
  <si>
    <t>胎内市</t>
    <rPh sb="0" eb="3">
      <t>タイナイシ</t>
    </rPh>
    <phoneticPr fontId="5"/>
  </si>
  <si>
    <t>タイナイシ</t>
  </si>
  <si>
    <t>田上町</t>
    <rPh sb="0" eb="3">
      <t>タガミマチ</t>
    </rPh>
    <phoneticPr fontId="5"/>
  </si>
  <si>
    <t>タガミマチ</t>
  </si>
  <si>
    <t>津南町</t>
    <rPh sb="0" eb="3">
      <t>ツナンマチ</t>
    </rPh>
    <phoneticPr fontId="5"/>
  </si>
  <si>
    <t>ツナンマチ</t>
  </si>
  <si>
    <t>燕市</t>
    <rPh sb="0" eb="2">
      <t>ツバメシ</t>
    </rPh>
    <phoneticPr fontId="5"/>
  </si>
  <si>
    <t>ツバメシ</t>
  </si>
  <si>
    <t>十日町市</t>
    <rPh sb="0" eb="4">
      <t>トオカマチシ</t>
    </rPh>
    <phoneticPr fontId="5"/>
  </si>
  <si>
    <t>トオカマチシ</t>
  </si>
  <si>
    <t>長岡市</t>
    <rPh sb="0" eb="3">
      <t>ナガオカシ</t>
    </rPh>
    <phoneticPr fontId="5"/>
  </si>
  <si>
    <t>ナガオカシ</t>
  </si>
  <si>
    <t>新潟市</t>
    <rPh sb="0" eb="3">
      <t>ニイガタシ</t>
    </rPh>
    <phoneticPr fontId="5"/>
  </si>
  <si>
    <t>ニイガタシ</t>
  </si>
  <si>
    <t>見附市</t>
    <rPh sb="0" eb="3">
      <t>ミツケシ</t>
    </rPh>
    <phoneticPr fontId="5"/>
  </si>
  <si>
    <t>ミツケシ</t>
  </si>
  <si>
    <t>南魚沼市</t>
    <rPh sb="0" eb="4">
      <t>ミナミウオヌマシ</t>
    </rPh>
    <phoneticPr fontId="5"/>
  </si>
  <si>
    <t>ミナミウオヌマシ</t>
  </si>
  <si>
    <t>妙高市</t>
    <rPh sb="0" eb="3">
      <t>ミョウコウシ</t>
    </rPh>
    <phoneticPr fontId="5"/>
  </si>
  <si>
    <t>ミョウコウシ</t>
  </si>
  <si>
    <t>村上市</t>
    <rPh sb="0" eb="3">
      <t>ムラカミシ</t>
    </rPh>
    <phoneticPr fontId="5"/>
  </si>
  <si>
    <t>ムラカミシ</t>
  </si>
  <si>
    <t>弥彦村</t>
    <rPh sb="0" eb="3">
      <t>ヤヒコムラ</t>
    </rPh>
    <phoneticPr fontId="5"/>
  </si>
  <si>
    <t>ヤヒコムラ</t>
  </si>
  <si>
    <t>湯沢町</t>
    <rPh sb="0" eb="2">
      <t>ユザワ</t>
    </rPh>
    <rPh sb="2" eb="3">
      <t>マチ</t>
    </rPh>
    <phoneticPr fontId="5"/>
  </si>
  <si>
    <t>ユザワマチ</t>
  </si>
  <si>
    <t>富山県</t>
  </si>
  <si>
    <t>射水市</t>
    <rPh sb="0" eb="3">
      <t>イミズシ</t>
    </rPh>
    <phoneticPr fontId="5"/>
  </si>
  <si>
    <t>イミズシ</t>
  </si>
  <si>
    <t>魚津市</t>
    <rPh sb="0" eb="3">
      <t>ウオヅシ</t>
    </rPh>
    <phoneticPr fontId="5"/>
  </si>
  <si>
    <t>ウオヅシ</t>
  </si>
  <si>
    <t>小矢部市</t>
    <rPh sb="0" eb="4">
      <t>オヤベシ</t>
    </rPh>
    <phoneticPr fontId="5"/>
  </si>
  <si>
    <t>オヤベシ</t>
  </si>
  <si>
    <t>上市町</t>
    <rPh sb="0" eb="3">
      <t>カミイチマチ</t>
    </rPh>
    <phoneticPr fontId="5"/>
  </si>
  <si>
    <t>カミイチマチ</t>
  </si>
  <si>
    <t>黒部市</t>
    <rPh sb="0" eb="3">
      <t>クロベシ</t>
    </rPh>
    <phoneticPr fontId="5"/>
  </si>
  <si>
    <t>クロベシ</t>
  </si>
  <si>
    <t>高岡市</t>
    <rPh sb="0" eb="3">
      <t>タカオカシ</t>
    </rPh>
    <phoneticPr fontId="5"/>
  </si>
  <si>
    <t>タカオカシ</t>
  </si>
  <si>
    <t>立山町</t>
    <rPh sb="0" eb="3">
      <t>タテヤママチ</t>
    </rPh>
    <phoneticPr fontId="5"/>
  </si>
  <si>
    <t>タテヤママチ</t>
  </si>
  <si>
    <t>砺波市</t>
    <rPh sb="0" eb="3">
      <t>トナミシ</t>
    </rPh>
    <phoneticPr fontId="5"/>
  </si>
  <si>
    <t>トナミシ</t>
  </si>
  <si>
    <t>富山市</t>
    <rPh sb="0" eb="3">
      <t>トヤマシ</t>
    </rPh>
    <phoneticPr fontId="5"/>
  </si>
  <si>
    <t>トヤマシ</t>
  </si>
  <si>
    <t>滑川市</t>
    <rPh sb="0" eb="3">
      <t>ナメリカワシ</t>
    </rPh>
    <phoneticPr fontId="5"/>
  </si>
  <si>
    <t>ナメリカワシ</t>
  </si>
  <si>
    <t>南砺市</t>
    <rPh sb="0" eb="3">
      <t>ナントシ</t>
    </rPh>
    <phoneticPr fontId="5"/>
  </si>
  <si>
    <t>ナントシ</t>
  </si>
  <si>
    <t>入善町</t>
    <rPh sb="0" eb="3">
      <t>ニュウゼンマチ</t>
    </rPh>
    <phoneticPr fontId="5"/>
  </si>
  <si>
    <t>ニュウゼンマチ</t>
  </si>
  <si>
    <t>氷見市</t>
    <rPh sb="0" eb="3">
      <t>ヒミシ</t>
    </rPh>
    <phoneticPr fontId="5"/>
  </si>
  <si>
    <t>ヒミシ</t>
  </si>
  <si>
    <t>舟橋村</t>
    <rPh sb="0" eb="2">
      <t>フナハシ</t>
    </rPh>
    <rPh sb="2" eb="3">
      <t>ムラ</t>
    </rPh>
    <phoneticPr fontId="5"/>
  </si>
  <si>
    <t>フナハシムラ</t>
  </si>
  <si>
    <t>石川県</t>
  </si>
  <si>
    <t>穴水町</t>
    <rPh sb="0" eb="3">
      <t>アナミズマチ</t>
    </rPh>
    <phoneticPr fontId="5"/>
  </si>
  <si>
    <t>アナミズマチ</t>
  </si>
  <si>
    <t>内灘町</t>
    <rPh sb="0" eb="3">
      <t>ウチナダマチ</t>
    </rPh>
    <phoneticPr fontId="5"/>
  </si>
  <si>
    <t>ウチナダマチ</t>
  </si>
  <si>
    <t>加賀市</t>
    <rPh sb="0" eb="3">
      <t>カガシ</t>
    </rPh>
    <phoneticPr fontId="5"/>
  </si>
  <si>
    <t>カガシ</t>
  </si>
  <si>
    <t>金沢市</t>
    <rPh sb="0" eb="3">
      <t>カナザワシ</t>
    </rPh>
    <phoneticPr fontId="5"/>
  </si>
  <si>
    <t>カナザワシ</t>
  </si>
  <si>
    <t>かほく市</t>
    <rPh sb="3" eb="4">
      <t>シ</t>
    </rPh>
    <phoneticPr fontId="5"/>
  </si>
  <si>
    <t>カホクシ</t>
  </si>
  <si>
    <t>川北町</t>
    <rPh sb="0" eb="3">
      <t>カワキタマチ</t>
    </rPh>
    <phoneticPr fontId="5"/>
  </si>
  <si>
    <t>カワキタマチ</t>
  </si>
  <si>
    <t>小松市</t>
    <rPh sb="0" eb="3">
      <t>コマツシ</t>
    </rPh>
    <phoneticPr fontId="5"/>
  </si>
  <si>
    <t>コマツシ</t>
  </si>
  <si>
    <t>志賀町</t>
    <rPh sb="0" eb="3">
      <t>シガチョウ</t>
    </rPh>
    <phoneticPr fontId="5"/>
  </si>
  <si>
    <t>シガチョウ</t>
  </si>
  <si>
    <t>珠洲市</t>
    <rPh sb="0" eb="3">
      <t>スズシ</t>
    </rPh>
    <phoneticPr fontId="5"/>
  </si>
  <si>
    <t>スズシ</t>
  </si>
  <si>
    <t>津幡町</t>
    <rPh sb="0" eb="3">
      <t>ツバタマチ</t>
    </rPh>
    <phoneticPr fontId="5"/>
  </si>
  <si>
    <t>ツバタマチ</t>
  </si>
  <si>
    <t>中能登町</t>
    <rPh sb="0" eb="4">
      <t>ナカノトマチ</t>
    </rPh>
    <phoneticPr fontId="5"/>
  </si>
  <si>
    <t>ナカノトマチ</t>
  </si>
  <si>
    <t>七尾市</t>
    <rPh sb="0" eb="3">
      <t>ナナオシ</t>
    </rPh>
    <phoneticPr fontId="5"/>
  </si>
  <si>
    <t>ナナオシ</t>
  </si>
  <si>
    <t>能登町</t>
    <rPh sb="0" eb="2">
      <t>ノト</t>
    </rPh>
    <rPh sb="2" eb="3">
      <t>チョウ</t>
    </rPh>
    <phoneticPr fontId="5"/>
  </si>
  <si>
    <t>ノトチョウ</t>
  </si>
  <si>
    <t>野々市市</t>
    <rPh sb="0" eb="4">
      <t>ノノイチシ</t>
    </rPh>
    <phoneticPr fontId="5"/>
  </si>
  <si>
    <t>ノノイチシ</t>
  </si>
  <si>
    <t>能美市</t>
    <rPh sb="0" eb="3">
      <t>ノミシ</t>
    </rPh>
    <phoneticPr fontId="5"/>
  </si>
  <si>
    <t>ノミシ</t>
  </si>
  <si>
    <t>羽咋市</t>
    <rPh sb="0" eb="3">
      <t>ハクイシ</t>
    </rPh>
    <phoneticPr fontId="5"/>
  </si>
  <si>
    <t>ハクイシ</t>
  </si>
  <si>
    <t>白山市(旧河内村、旧吉野谷村、旧鳥越村、旧尾口村に限る。)</t>
    <rPh sb="0" eb="2">
      <t>ハクザン</t>
    </rPh>
    <rPh sb="2" eb="3">
      <t>シ</t>
    </rPh>
    <rPh sb="4" eb="5">
      <t>キュウ</t>
    </rPh>
    <rPh sb="5" eb="8">
      <t>カワチムラ</t>
    </rPh>
    <rPh sb="9" eb="10">
      <t>キュウ</t>
    </rPh>
    <rPh sb="10" eb="14">
      <t>ヨシノダニムラ</t>
    </rPh>
    <rPh sb="15" eb="16">
      <t>キュウ</t>
    </rPh>
    <rPh sb="16" eb="18">
      <t>トリゴエ</t>
    </rPh>
    <rPh sb="18" eb="19">
      <t>ムラ</t>
    </rPh>
    <rPh sb="20" eb="21">
      <t>キュウ</t>
    </rPh>
    <rPh sb="21" eb="24">
      <t>オグチムラ</t>
    </rPh>
    <rPh sb="25" eb="26">
      <t>カギ</t>
    </rPh>
    <phoneticPr fontId="5"/>
  </si>
  <si>
    <t>ハクザンシ(キュウカワチムラ、キュウヨシノダニムラ、キュウトリゴエムラ、キュウオグチムラニカギル。)</t>
  </si>
  <si>
    <t>白山市（旧白峰村に限る。）</t>
    <rPh sb="0" eb="3">
      <t>ハクサンシ</t>
    </rPh>
    <rPh sb="4" eb="5">
      <t>キュウ</t>
    </rPh>
    <rPh sb="5" eb="8">
      <t>シラミネムラ</t>
    </rPh>
    <rPh sb="9" eb="10">
      <t>カギ</t>
    </rPh>
    <phoneticPr fontId="5"/>
  </si>
  <si>
    <t>ハクサンシ（キュウシラミネムラニカギル。）</t>
  </si>
  <si>
    <t>白山市(旧松任市に限る。)</t>
    <rPh sb="0" eb="2">
      <t>ハクザン</t>
    </rPh>
    <rPh sb="2" eb="3">
      <t>シ</t>
    </rPh>
    <rPh sb="4" eb="5">
      <t>キュウ</t>
    </rPh>
    <rPh sb="5" eb="8">
      <t>マツトウシ</t>
    </rPh>
    <rPh sb="9" eb="10">
      <t>カギ</t>
    </rPh>
    <phoneticPr fontId="5"/>
  </si>
  <si>
    <t>ハクザンシ(キュウマツトウシニカギル。)</t>
  </si>
  <si>
    <t>白山市(旧美川町、旧鶴来町に限る。)</t>
    <rPh sb="0" eb="2">
      <t>ハクザン</t>
    </rPh>
    <rPh sb="2" eb="3">
      <t>シ</t>
    </rPh>
    <rPh sb="4" eb="5">
      <t>キュウ</t>
    </rPh>
    <rPh sb="5" eb="8">
      <t>ミカワチョウ</t>
    </rPh>
    <phoneticPr fontId="5"/>
  </si>
  <si>
    <t>ハクザンシ(キュウミカワチョウ</t>
  </si>
  <si>
    <t>宝達志水町</t>
    <rPh sb="0" eb="5">
      <t>ホウダツシミズチョウ</t>
    </rPh>
    <phoneticPr fontId="5"/>
  </si>
  <si>
    <t>ホウダツシミズチョウ</t>
  </si>
  <si>
    <t>輪島市</t>
    <rPh sb="0" eb="3">
      <t>ワジマシ</t>
    </rPh>
    <phoneticPr fontId="5"/>
  </si>
  <si>
    <t>ワジマシ</t>
  </si>
  <si>
    <t>福井県</t>
  </si>
  <si>
    <t>あわら市</t>
    <rPh sb="3" eb="4">
      <t>シ</t>
    </rPh>
    <phoneticPr fontId="5"/>
  </si>
  <si>
    <t>アワラシ</t>
  </si>
  <si>
    <t>永平寺町</t>
    <rPh sb="0" eb="4">
      <t>エイヘイジチョウ</t>
    </rPh>
    <phoneticPr fontId="5"/>
  </si>
  <si>
    <t>エイヘイジチョウ</t>
  </si>
  <si>
    <t>越前市</t>
    <rPh sb="0" eb="3">
      <t>エチゼンシ</t>
    </rPh>
    <phoneticPr fontId="5"/>
  </si>
  <si>
    <t>エチゼンシ</t>
  </si>
  <si>
    <t>越前町</t>
    <rPh sb="0" eb="3">
      <t>エチゼンチョウ</t>
    </rPh>
    <phoneticPr fontId="5"/>
  </si>
  <si>
    <t>エチゼンチョウ</t>
  </si>
  <si>
    <t>おおい町</t>
    <rPh sb="3" eb="4">
      <t>マチ</t>
    </rPh>
    <phoneticPr fontId="5"/>
  </si>
  <si>
    <t>オオイマチ</t>
  </si>
  <si>
    <t>大野市</t>
    <rPh sb="0" eb="3">
      <t>オオノシ</t>
    </rPh>
    <phoneticPr fontId="5"/>
  </si>
  <si>
    <t>オオノシ</t>
  </si>
  <si>
    <t>小浜市</t>
    <rPh sb="0" eb="3">
      <t>オバマシ</t>
    </rPh>
    <phoneticPr fontId="5"/>
  </si>
  <si>
    <t>オバマシ</t>
  </si>
  <si>
    <t>勝山市</t>
    <rPh sb="0" eb="3">
      <t>カツヤマシ</t>
    </rPh>
    <phoneticPr fontId="5"/>
  </si>
  <si>
    <t>カツヤマシ</t>
  </si>
  <si>
    <t>坂井市</t>
    <rPh sb="0" eb="2">
      <t>サカイ</t>
    </rPh>
    <rPh sb="2" eb="3">
      <t>シ</t>
    </rPh>
    <phoneticPr fontId="5"/>
  </si>
  <si>
    <t>サカイシ</t>
  </si>
  <si>
    <t>鯖江市</t>
    <rPh sb="0" eb="3">
      <t>サバエシ</t>
    </rPh>
    <phoneticPr fontId="5"/>
  </si>
  <si>
    <t>サバエシ</t>
  </si>
  <si>
    <t>高浜町</t>
    <rPh sb="0" eb="3">
      <t>タカハマチョウ</t>
    </rPh>
    <phoneticPr fontId="5"/>
  </si>
  <si>
    <t>タカハマチョウ</t>
  </si>
  <si>
    <t>敦賀市</t>
    <rPh sb="0" eb="3">
      <t>ツルガシ</t>
    </rPh>
    <phoneticPr fontId="5"/>
  </si>
  <si>
    <t>ツルガシ</t>
  </si>
  <si>
    <t>福井市</t>
    <rPh sb="0" eb="3">
      <t>フクイシ</t>
    </rPh>
    <phoneticPr fontId="5"/>
  </si>
  <si>
    <t>フクイシ</t>
  </si>
  <si>
    <t>南越前町</t>
    <rPh sb="0" eb="4">
      <t>ミナミエチゼンチョウ</t>
    </rPh>
    <phoneticPr fontId="5"/>
  </si>
  <si>
    <t>ミナミエチゼンチョウ</t>
  </si>
  <si>
    <t>美浜町</t>
    <rPh sb="0" eb="3">
      <t>ミハマチョウ</t>
    </rPh>
    <phoneticPr fontId="5"/>
  </si>
  <si>
    <t>ミハマチョウ</t>
  </si>
  <si>
    <t>若狭町</t>
    <rPh sb="0" eb="3">
      <t>ワカサチョウ</t>
    </rPh>
    <phoneticPr fontId="5"/>
  </si>
  <si>
    <t>ワカサチョウ</t>
  </si>
  <si>
    <t>山梨県</t>
  </si>
  <si>
    <t>市川三郷町</t>
    <rPh sb="0" eb="5">
      <t>イチカワミサトチョウ</t>
    </rPh>
    <phoneticPr fontId="5"/>
  </si>
  <si>
    <t>イチカワミサトチョウ</t>
  </si>
  <si>
    <t>上野原市</t>
    <rPh sb="0" eb="4">
      <t>ウエノハラシ</t>
    </rPh>
    <phoneticPr fontId="5"/>
  </si>
  <si>
    <t>ウエノハラシ</t>
  </si>
  <si>
    <t>大月市</t>
    <rPh sb="0" eb="3">
      <t>オオツキシ</t>
    </rPh>
    <phoneticPr fontId="5"/>
  </si>
  <si>
    <t>オオツキシ</t>
  </si>
  <si>
    <t>忍野村</t>
    <rPh sb="0" eb="3">
      <t>オシノムラ</t>
    </rPh>
    <phoneticPr fontId="5"/>
  </si>
  <si>
    <t>オシノムラ</t>
  </si>
  <si>
    <t>甲斐市</t>
    <rPh sb="0" eb="2">
      <t>カイ</t>
    </rPh>
    <rPh sb="2" eb="3">
      <t>シ</t>
    </rPh>
    <phoneticPr fontId="5"/>
  </si>
  <si>
    <t>カイシ</t>
  </si>
  <si>
    <t>甲州市（旧塩山市、旧勝沼町に限る。）</t>
    <rPh sb="0" eb="2">
      <t>コウシュウ</t>
    </rPh>
    <rPh sb="2" eb="3">
      <t>シ</t>
    </rPh>
    <rPh sb="4" eb="5">
      <t>キュウ</t>
    </rPh>
    <rPh sb="5" eb="8">
      <t>エンザンシ</t>
    </rPh>
    <rPh sb="9" eb="10">
      <t>キュウ</t>
    </rPh>
    <rPh sb="10" eb="13">
      <t>カツヌマチョウ</t>
    </rPh>
    <rPh sb="14" eb="15">
      <t>カギ</t>
    </rPh>
    <phoneticPr fontId="5"/>
  </si>
  <si>
    <t>コウシュウシ（キュウエンザンシ、キュウカツヌマチョウニカギル。）</t>
  </si>
  <si>
    <t>甲州市（旧大和村に限る。）</t>
    <rPh sb="0" eb="2">
      <t>コウシュウ</t>
    </rPh>
    <rPh sb="2" eb="3">
      <t>シ</t>
    </rPh>
    <rPh sb="4" eb="5">
      <t>キュウ</t>
    </rPh>
    <rPh sb="5" eb="8">
      <t>ダイワムラ</t>
    </rPh>
    <rPh sb="9" eb="10">
      <t>カギ</t>
    </rPh>
    <phoneticPr fontId="5"/>
  </si>
  <si>
    <t>コウシュウシ（キュウダイワムラニカギル。）</t>
  </si>
  <si>
    <t>甲府市(旧上九一色村に限る。)</t>
    <rPh sb="0" eb="3">
      <t>コウフシ</t>
    </rPh>
    <rPh sb="4" eb="5">
      <t>キュウ</t>
    </rPh>
    <rPh sb="5" eb="10">
      <t>カミクイシキムラ</t>
    </rPh>
    <rPh sb="11" eb="12">
      <t>カギ</t>
    </rPh>
    <phoneticPr fontId="5"/>
  </si>
  <si>
    <t>コウフシ(キュウカミクイシキムラニカギル。)</t>
  </si>
  <si>
    <t>甲府市（旧甲府市に限る。）</t>
    <rPh sb="0" eb="3">
      <t>コウフシ</t>
    </rPh>
    <rPh sb="4" eb="5">
      <t>キュウ</t>
    </rPh>
    <rPh sb="5" eb="8">
      <t>コウフシ</t>
    </rPh>
    <rPh sb="9" eb="10">
      <t>カギ</t>
    </rPh>
    <phoneticPr fontId="5"/>
  </si>
  <si>
    <t>コウフシ（キュウコウフシニカギル。）</t>
  </si>
  <si>
    <t>甲府市(旧中道町に限る。)</t>
    <rPh sb="0" eb="3">
      <t>コウフシ</t>
    </rPh>
    <rPh sb="4" eb="5">
      <t>キュウ</t>
    </rPh>
    <rPh sb="5" eb="8">
      <t>ナカミチマチ</t>
    </rPh>
    <rPh sb="9" eb="10">
      <t>カギ</t>
    </rPh>
    <phoneticPr fontId="5"/>
  </si>
  <si>
    <t>コウフシ(キュウナカミチマチニカギル。)</t>
  </si>
  <si>
    <t>小菅村</t>
    <rPh sb="0" eb="2">
      <t>コスガ</t>
    </rPh>
    <rPh sb="2" eb="3">
      <t>ムラ</t>
    </rPh>
    <phoneticPr fontId="5"/>
  </si>
  <si>
    <t>コスガムラ</t>
  </si>
  <si>
    <t>昭和町</t>
    <rPh sb="0" eb="3">
      <t>ショウワチョウ</t>
    </rPh>
    <phoneticPr fontId="5"/>
  </si>
  <si>
    <t>ショウワチョウ</t>
  </si>
  <si>
    <t>丹波山村</t>
    <rPh sb="0" eb="4">
      <t>タバヤマムラ</t>
    </rPh>
    <phoneticPr fontId="5"/>
  </si>
  <si>
    <t>タバヤマムラ</t>
  </si>
  <si>
    <t>中央市</t>
    <rPh sb="0" eb="3">
      <t>チュウオウシ</t>
    </rPh>
    <phoneticPr fontId="5"/>
  </si>
  <si>
    <t>チュウオウシ</t>
  </si>
  <si>
    <t>都留市</t>
    <rPh sb="0" eb="3">
      <t>ツルシ</t>
    </rPh>
    <phoneticPr fontId="5"/>
  </si>
  <si>
    <t>ツルシ</t>
  </si>
  <si>
    <t>道志村</t>
    <rPh sb="0" eb="3">
      <t>ドウシムラ</t>
    </rPh>
    <phoneticPr fontId="5"/>
  </si>
  <si>
    <t>ドウシムラ</t>
  </si>
  <si>
    <t>鳴沢村</t>
    <rPh sb="0" eb="3">
      <t>ナルサワムラ</t>
    </rPh>
    <phoneticPr fontId="5"/>
  </si>
  <si>
    <t>ナルサワムラ</t>
  </si>
  <si>
    <t>西桂町</t>
    <rPh sb="0" eb="3">
      <t>ニシカツラチョウ</t>
    </rPh>
    <phoneticPr fontId="5"/>
  </si>
  <si>
    <t>ニシカツラチョウ</t>
  </si>
  <si>
    <t>韮崎市</t>
    <rPh sb="0" eb="3">
      <t>ニラサキシ</t>
    </rPh>
    <phoneticPr fontId="5"/>
  </si>
  <si>
    <t>ニラサキシ</t>
  </si>
  <si>
    <t>早川町</t>
    <rPh sb="0" eb="3">
      <t>ハヤカワチョウ</t>
    </rPh>
    <phoneticPr fontId="5"/>
  </si>
  <si>
    <t>ハヤカワチョウ</t>
  </si>
  <si>
    <t>笛吹市(旧芦川村に限る。)</t>
    <rPh sb="0" eb="3">
      <t>フエフキシ</t>
    </rPh>
    <rPh sb="4" eb="5">
      <t>キュウ</t>
    </rPh>
    <rPh sb="5" eb="7">
      <t>アシカワ</t>
    </rPh>
    <rPh sb="7" eb="8">
      <t>ムラ</t>
    </rPh>
    <rPh sb="9" eb="10">
      <t>カギ</t>
    </rPh>
    <phoneticPr fontId="5"/>
  </si>
  <si>
    <t>フエフキシ(キュウアシカワムラニカギル。)</t>
  </si>
  <si>
    <t>笛吹市（旧春日居町、旧石和町、旧御坂町、旧一宮町、旧八代町、旧境川村に限る。)</t>
    <rPh sb="0" eb="3">
      <t>フエフキシ</t>
    </rPh>
    <rPh sb="4" eb="5">
      <t>キュウ</t>
    </rPh>
    <rPh sb="5" eb="9">
      <t>カスガイチョウ</t>
    </rPh>
    <rPh sb="10" eb="11">
      <t>キュウ</t>
    </rPh>
    <rPh sb="11" eb="14">
      <t>イサワチョウ</t>
    </rPh>
    <rPh sb="15" eb="16">
      <t>キュウ</t>
    </rPh>
    <rPh sb="16" eb="19">
      <t>ミサカチョウ</t>
    </rPh>
    <rPh sb="20" eb="21">
      <t>キュウ</t>
    </rPh>
    <rPh sb="21" eb="23">
      <t>イチノミヤ</t>
    </rPh>
    <rPh sb="23" eb="24">
      <t>マチ</t>
    </rPh>
    <rPh sb="25" eb="26">
      <t>キュウ</t>
    </rPh>
    <rPh sb="26" eb="29">
      <t>ヤツシロチョウ</t>
    </rPh>
    <rPh sb="30" eb="31">
      <t>キュウ</t>
    </rPh>
    <rPh sb="31" eb="34">
      <t>サカイガワムラ</t>
    </rPh>
    <rPh sb="35" eb="36">
      <t>カギ</t>
    </rPh>
    <phoneticPr fontId="5"/>
  </si>
  <si>
    <t>フエフキシ（キュウカスガイチョウ、キュウイサワチョウ、キュウミサカチョウ、キュウイチノミヤマチ、キュウヤツシロチョウ、キュウサカイガワムラニカギル。)</t>
  </si>
  <si>
    <t>富士河口湖町</t>
    <rPh sb="0" eb="6">
      <t>フジカワグチコマチ</t>
    </rPh>
    <phoneticPr fontId="5"/>
  </si>
  <si>
    <t>フジカワグチコマチ</t>
  </si>
  <si>
    <t>富士川町</t>
    <rPh sb="0" eb="4">
      <t>フジカワチョウ</t>
    </rPh>
    <phoneticPr fontId="5"/>
  </si>
  <si>
    <t>フジカワチョウ</t>
  </si>
  <si>
    <t>富士吉田市</t>
    <rPh sb="0" eb="5">
      <t>フジヨシダシ</t>
    </rPh>
    <phoneticPr fontId="5"/>
  </si>
  <si>
    <t>フジヨシダシ</t>
  </si>
  <si>
    <t>北杜市(旧明野村、旧須玉町、旧高根町、旧長坂町、旧大泉村、旧白州町に限る。)</t>
    <rPh sb="0" eb="3">
      <t>ホクトシ</t>
    </rPh>
    <rPh sb="4" eb="5">
      <t>キュウ</t>
    </rPh>
    <rPh sb="5" eb="8">
      <t>アケノムラ</t>
    </rPh>
    <rPh sb="9" eb="10">
      <t>キュウ</t>
    </rPh>
    <rPh sb="10" eb="13">
      <t>スダマチョウ</t>
    </rPh>
    <rPh sb="14" eb="15">
      <t>キュウ</t>
    </rPh>
    <rPh sb="15" eb="18">
      <t>タカネチョウ</t>
    </rPh>
    <rPh sb="19" eb="20">
      <t>キュウ</t>
    </rPh>
    <rPh sb="20" eb="23">
      <t>ナガサカチョウ</t>
    </rPh>
    <rPh sb="24" eb="25">
      <t>キュウ</t>
    </rPh>
    <rPh sb="25" eb="28">
      <t>オオイズミムラ</t>
    </rPh>
    <rPh sb="29" eb="30">
      <t>キュウ</t>
    </rPh>
    <rPh sb="30" eb="33">
      <t>ハクシュウマチ</t>
    </rPh>
    <rPh sb="34" eb="35">
      <t>カギ</t>
    </rPh>
    <phoneticPr fontId="5"/>
  </si>
  <si>
    <t>ホクトシ(キュウアケノムラ、キュウスダマチョウ、キュウタカネチョウ、キュウナガサカチョウ、キュウオオイズミムラ、キュウハクシュウマチニカギル。)</t>
  </si>
  <si>
    <t>北杜市(旧小淵沢町に限る。)</t>
    <rPh sb="0" eb="3">
      <t>ホクトシ</t>
    </rPh>
    <rPh sb="4" eb="5">
      <t>キュウ</t>
    </rPh>
    <rPh sb="5" eb="9">
      <t>コブチサワチョウ</t>
    </rPh>
    <rPh sb="10" eb="11">
      <t>カギ</t>
    </rPh>
    <phoneticPr fontId="5"/>
  </si>
  <si>
    <t>ホクトシ(キュウコブチサワチョウニカギル。)</t>
  </si>
  <si>
    <t>北杜市（旧武川村に限る。）</t>
    <rPh sb="0" eb="3">
      <t>ホクトシ</t>
    </rPh>
    <rPh sb="4" eb="5">
      <t>キュウ</t>
    </rPh>
    <rPh sb="5" eb="7">
      <t>タケカワ</t>
    </rPh>
    <rPh sb="7" eb="8">
      <t>ムラ</t>
    </rPh>
    <rPh sb="9" eb="10">
      <t>カギ</t>
    </rPh>
    <phoneticPr fontId="5"/>
  </si>
  <si>
    <t>ホクトシ（キュウタケカワムラニカギル。）</t>
  </si>
  <si>
    <t>南アルプス市</t>
    <rPh sb="0" eb="1">
      <t>ミナミ</t>
    </rPh>
    <rPh sb="5" eb="6">
      <t>シ</t>
    </rPh>
    <phoneticPr fontId="5"/>
  </si>
  <si>
    <t>ミナミアルプスシ</t>
  </si>
  <si>
    <t>身延町</t>
    <rPh sb="0" eb="3">
      <t>ミノブチョウ</t>
    </rPh>
    <phoneticPr fontId="5"/>
  </si>
  <si>
    <t>ミノブチョウ</t>
  </si>
  <si>
    <t>山中湖村</t>
    <rPh sb="0" eb="4">
      <t>ヤマナカコムラ</t>
    </rPh>
    <phoneticPr fontId="5"/>
  </si>
  <si>
    <t>ヤマナカコムラ</t>
  </si>
  <si>
    <t>山梨市</t>
    <rPh sb="0" eb="3">
      <t>ヤマナシシ</t>
    </rPh>
    <phoneticPr fontId="5"/>
  </si>
  <si>
    <t>ヤマナシシ</t>
  </si>
  <si>
    <t>長野県</t>
  </si>
  <si>
    <t>青木村</t>
    <rPh sb="0" eb="1">
      <t>アオ</t>
    </rPh>
    <rPh sb="1" eb="3">
      <t>キムラ</t>
    </rPh>
    <phoneticPr fontId="35"/>
  </si>
  <si>
    <t>アオキムラ</t>
  </si>
  <si>
    <t>上松町</t>
    <rPh sb="0" eb="3">
      <t>アゲマツマチ</t>
    </rPh>
    <phoneticPr fontId="35"/>
  </si>
  <si>
    <t>アゲマツマチ</t>
  </si>
  <si>
    <t>朝日村</t>
    <rPh sb="0" eb="3">
      <t>アサヒムラ</t>
    </rPh>
    <phoneticPr fontId="35"/>
  </si>
  <si>
    <t>アサヒムラ</t>
  </si>
  <si>
    <t>安曇野市</t>
    <rPh sb="0" eb="3">
      <t>アズミノ</t>
    </rPh>
    <rPh sb="3" eb="4">
      <t>シ</t>
    </rPh>
    <phoneticPr fontId="35"/>
  </si>
  <si>
    <t>アズミノシ</t>
  </si>
  <si>
    <t>阿智村</t>
    <rPh sb="0" eb="3">
      <t>アチムラ</t>
    </rPh>
    <phoneticPr fontId="35"/>
  </si>
  <si>
    <t>アチムラ</t>
  </si>
  <si>
    <t>阿南町</t>
    <rPh sb="0" eb="3">
      <t>アナンチョウ</t>
    </rPh>
    <phoneticPr fontId="35"/>
  </si>
  <si>
    <t>アナンチョウ</t>
  </si>
  <si>
    <t>飯田市</t>
    <rPh sb="0" eb="3">
      <t>イイダシ</t>
    </rPh>
    <phoneticPr fontId="35"/>
  </si>
  <si>
    <t>イイダシ</t>
  </si>
  <si>
    <t>飯綱町</t>
    <rPh sb="0" eb="3">
      <t>イイヅナマチ</t>
    </rPh>
    <phoneticPr fontId="35"/>
  </si>
  <si>
    <t>イイヅナマチ</t>
  </si>
  <si>
    <t>飯山市</t>
    <rPh sb="0" eb="3">
      <t>イイヤマシ</t>
    </rPh>
    <phoneticPr fontId="35"/>
  </si>
  <si>
    <t>イイヤマシ</t>
  </si>
  <si>
    <t>生坂村</t>
    <rPh sb="0" eb="3">
      <t>イクサカムラ</t>
    </rPh>
    <phoneticPr fontId="35"/>
  </si>
  <si>
    <t>イクサカムラ</t>
  </si>
  <si>
    <t>池田町</t>
    <rPh sb="0" eb="3">
      <t>イケダチョウ</t>
    </rPh>
    <phoneticPr fontId="35"/>
  </si>
  <si>
    <t>伊那市</t>
    <rPh sb="0" eb="3">
      <t>イナシ</t>
    </rPh>
    <phoneticPr fontId="35"/>
  </si>
  <si>
    <t>イナシ</t>
  </si>
  <si>
    <t>上田市(旧上田市、旧丸子町に限る。)</t>
    <rPh sb="0" eb="3">
      <t>ウエダシ</t>
    </rPh>
    <rPh sb="4" eb="5">
      <t>キュウ</t>
    </rPh>
    <rPh sb="5" eb="8">
      <t>ウエダシ</t>
    </rPh>
    <rPh sb="9" eb="10">
      <t>キュウ</t>
    </rPh>
    <rPh sb="10" eb="13">
      <t>マルコチョウ</t>
    </rPh>
    <rPh sb="14" eb="15">
      <t>カギ</t>
    </rPh>
    <phoneticPr fontId="35"/>
  </si>
  <si>
    <t>ウエダシ(キュウウエダシ、キュウマルコチョウニカギル。)</t>
  </si>
  <si>
    <t>上田市(旧真田町、旧武石村に限る。)</t>
    <rPh sb="0" eb="3">
      <t>ウエダシ</t>
    </rPh>
    <rPh sb="4" eb="5">
      <t>キュウ</t>
    </rPh>
    <rPh sb="5" eb="8">
      <t>サナダマチ</t>
    </rPh>
    <rPh sb="9" eb="10">
      <t>キュウ</t>
    </rPh>
    <rPh sb="10" eb="12">
      <t>タケイシ</t>
    </rPh>
    <rPh sb="12" eb="13">
      <t>ムラ</t>
    </rPh>
    <rPh sb="14" eb="15">
      <t>カギ</t>
    </rPh>
    <phoneticPr fontId="35"/>
  </si>
  <si>
    <t>ウエダシ(キュウサナダマチ、キュウタケイシムラニカギル。)</t>
  </si>
  <si>
    <t>売木村</t>
    <rPh sb="0" eb="3">
      <t>ウルギムラ</t>
    </rPh>
    <phoneticPr fontId="35"/>
  </si>
  <si>
    <t>ウルギムラ</t>
  </si>
  <si>
    <t>王滝村</t>
    <rPh sb="0" eb="3">
      <t>オウタキムラ</t>
    </rPh>
    <phoneticPr fontId="35"/>
  </si>
  <si>
    <t>オウタキムラ</t>
  </si>
  <si>
    <t>大桑村</t>
    <rPh sb="0" eb="3">
      <t>オオクワムラ</t>
    </rPh>
    <phoneticPr fontId="35"/>
  </si>
  <si>
    <t>オオクワムラ</t>
  </si>
  <si>
    <t>大鹿村</t>
    <rPh sb="0" eb="3">
      <t>オオシカムラ</t>
    </rPh>
    <phoneticPr fontId="35"/>
  </si>
  <si>
    <t>オオシカムラ</t>
  </si>
  <si>
    <t>大町市</t>
    <rPh sb="0" eb="3">
      <t>オオマチシ</t>
    </rPh>
    <phoneticPr fontId="35"/>
  </si>
  <si>
    <t>オオマチシ</t>
  </si>
  <si>
    <t>岡谷市</t>
    <rPh sb="0" eb="3">
      <t>オカヤシ</t>
    </rPh>
    <phoneticPr fontId="35"/>
  </si>
  <si>
    <t>オカヤシ</t>
  </si>
  <si>
    <t>小川村</t>
    <rPh sb="0" eb="2">
      <t>オガワ</t>
    </rPh>
    <rPh sb="2" eb="3">
      <t>ムラ</t>
    </rPh>
    <phoneticPr fontId="35"/>
  </si>
  <si>
    <t>オガワムラ</t>
  </si>
  <si>
    <t>小谷村</t>
    <rPh sb="0" eb="3">
      <t>オタリムラ</t>
    </rPh>
    <phoneticPr fontId="35"/>
  </si>
  <si>
    <t>オタリムラ</t>
  </si>
  <si>
    <t>小布施町</t>
    <rPh sb="0" eb="4">
      <t>オブセマチ</t>
    </rPh>
    <phoneticPr fontId="35"/>
  </si>
  <si>
    <t>オブセマチ</t>
  </si>
  <si>
    <t>麻績村</t>
    <rPh sb="0" eb="3">
      <t>オミムラ</t>
    </rPh>
    <phoneticPr fontId="35"/>
  </si>
  <si>
    <t>オミムラ</t>
  </si>
  <si>
    <t>軽井沢町</t>
    <rPh sb="0" eb="3">
      <t>カルイザワ</t>
    </rPh>
    <rPh sb="3" eb="4">
      <t>マチ</t>
    </rPh>
    <phoneticPr fontId="35"/>
  </si>
  <si>
    <t>カルイザワマチ</t>
  </si>
  <si>
    <t>川上村</t>
    <rPh sb="0" eb="3">
      <t>カワウエムラ</t>
    </rPh>
    <phoneticPr fontId="35"/>
  </si>
  <si>
    <t>カワウエムラ</t>
  </si>
  <si>
    <t>木島平村</t>
    <rPh sb="0" eb="4">
      <t>キジマダイラムラ</t>
    </rPh>
    <phoneticPr fontId="35"/>
  </si>
  <si>
    <t>キジマダイラムラ</t>
  </si>
  <si>
    <t>木曽町（旧開田村に限る。）</t>
    <rPh sb="0" eb="3">
      <t>キソマチ</t>
    </rPh>
    <rPh sb="4" eb="5">
      <t>キュウ</t>
    </rPh>
    <rPh sb="5" eb="8">
      <t>カイダムラ</t>
    </rPh>
    <rPh sb="9" eb="10">
      <t>カギ</t>
    </rPh>
    <phoneticPr fontId="35"/>
  </si>
  <si>
    <t>キソマチ（キュウカイダムラニカギル。）</t>
  </si>
  <si>
    <t>木曽町（旧木曽福島町、旧日義村、旧三岳村に限る。）</t>
    <rPh sb="0" eb="3">
      <t>キソマチ</t>
    </rPh>
    <rPh sb="4" eb="5">
      <t>キュウ</t>
    </rPh>
    <rPh sb="5" eb="10">
      <t>キソフクシママチ</t>
    </rPh>
    <rPh sb="11" eb="12">
      <t>キュウ</t>
    </rPh>
    <rPh sb="12" eb="15">
      <t>ヒヨシムラ</t>
    </rPh>
    <rPh sb="16" eb="17">
      <t>キュウ</t>
    </rPh>
    <rPh sb="17" eb="20">
      <t>ミタケムラ</t>
    </rPh>
    <rPh sb="21" eb="22">
      <t>カギ</t>
    </rPh>
    <phoneticPr fontId="35"/>
  </si>
  <si>
    <t>キソマチ（キュウキソフクシママチ、キュウヒヨシムラ、キュウミタケムラニカギル。）</t>
  </si>
  <si>
    <t>木祖村</t>
    <rPh sb="0" eb="3">
      <t>キソムラ</t>
    </rPh>
    <phoneticPr fontId="35"/>
  </si>
  <si>
    <t>キソムラ</t>
  </si>
  <si>
    <t>北相木村</t>
    <rPh sb="0" eb="4">
      <t>キタアイキムラ</t>
    </rPh>
    <phoneticPr fontId="35"/>
  </si>
  <si>
    <t>キタアイキムラ</t>
  </si>
  <si>
    <t>小海町</t>
    <rPh sb="0" eb="3">
      <t>コウミマチ</t>
    </rPh>
    <phoneticPr fontId="35"/>
  </si>
  <si>
    <t>コウミマチ</t>
  </si>
  <si>
    <t>駒ヶ根市</t>
    <rPh sb="0" eb="4">
      <t>コマガネシ</t>
    </rPh>
    <phoneticPr fontId="35"/>
  </si>
  <si>
    <t>コマガネシ</t>
  </si>
  <si>
    <t>小諸市</t>
    <rPh sb="0" eb="3">
      <t>コモロシ</t>
    </rPh>
    <phoneticPr fontId="35"/>
  </si>
  <si>
    <t>コモロシ</t>
  </si>
  <si>
    <t>栄村</t>
    <rPh sb="0" eb="1">
      <t>サカエ</t>
    </rPh>
    <rPh sb="1" eb="2">
      <t>ムラ</t>
    </rPh>
    <phoneticPr fontId="35"/>
  </si>
  <si>
    <t>サカエムラ</t>
  </si>
  <si>
    <t>坂城町</t>
    <rPh sb="0" eb="3">
      <t>サカキマチ</t>
    </rPh>
    <phoneticPr fontId="35"/>
  </si>
  <si>
    <t>サカキマチ</t>
  </si>
  <si>
    <t>佐久市</t>
    <rPh sb="0" eb="3">
      <t>サクシ</t>
    </rPh>
    <phoneticPr fontId="35"/>
  </si>
  <si>
    <t>サクシ</t>
  </si>
  <si>
    <t>佐久穂町</t>
    <rPh sb="0" eb="4">
      <t>サクホマチ</t>
    </rPh>
    <phoneticPr fontId="35"/>
  </si>
  <si>
    <t>サクホマチ</t>
  </si>
  <si>
    <t>塩尻市（旧塩尻市に限る。）</t>
    <rPh sb="0" eb="3">
      <t>シオジリシ</t>
    </rPh>
    <rPh sb="4" eb="5">
      <t>キュウ</t>
    </rPh>
    <rPh sb="5" eb="8">
      <t>シオジリシ</t>
    </rPh>
    <rPh sb="9" eb="10">
      <t>カギ</t>
    </rPh>
    <phoneticPr fontId="35"/>
  </si>
  <si>
    <t>シオジリシ（キュウシオジリシニカギル。）</t>
  </si>
  <si>
    <t>塩尻市（旧楢川村に限る。）</t>
    <rPh sb="0" eb="3">
      <t>シオジリシ</t>
    </rPh>
    <rPh sb="4" eb="5">
      <t>キュウ</t>
    </rPh>
    <rPh sb="5" eb="7">
      <t>ナラカワ</t>
    </rPh>
    <rPh sb="7" eb="8">
      <t>ムラ</t>
    </rPh>
    <rPh sb="9" eb="10">
      <t>カギ</t>
    </rPh>
    <phoneticPr fontId="35"/>
  </si>
  <si>
    <t>シオジリシ（キュウナラカワムラニカギル。）</t>
  </si>
  <si>
    <t>信濃町</t>
    <rPh sb="0" eb="3">
      <t>シナノマチ</t>
    </rPh>
    <phoneticPr fontId="35"/>
  </si>
  <si>
    <t>シナノマチ</t>
  </si>
  <si>
    <t>下條村</t>
    <rPh sb="0" eb="2">
      <t>シモジョウ</t>
    </rPh>
    <rPh sb="2" eb="3">
      <t>ムラ</t>
    </rPh>
    <phoneticPr fontId="35"/>
  </si>
  <si>
    <t>シモジョウムラ</t>
  </si>
  <si>
    <t>下諏訪町</t>
    <rPh sb="0" eb="4">
      <t>シモスワマチ</t>
    </rPh>
    <phoneticPr fontId="35"/>
  </si>
  <si>
    <t>シモスワマチ</t>
  </si>
  <si>
    <t>須坂市</t>
    <rPh sb="0" eb="3">
      <t>スザカシ</t>
    </rPh>
    <phoneticPr fontId="35"/>
  </si>
  <si>
    <t>スザカシ</t>
  </si>
  <si>
    <t>諏訪市</t>
    <rPh sb="0" eb="3">
      <t>スワシ</t>
    </rPh>
    <phoneticPr fontId="35"/>
  </si>
  <si>
    <t>スワシ</t>
  </si>
  <si>
    <t>喬木村</t>
    <rPh sb="0" eb="3">
      <t>タカギムラ</t>
    </rPh>
    <phoneticPr fontId="35"/>
  </si>
  <si>
    <t>タカギムラ</t>
  </si>
  <si>
    <t>高森町</t>
    <rPh sb="0" eb="3">
      <t>タカモリマチ</t>
    </rPh>
    <phoneticPr fontId="35"/>
  </si>
  <si>
    <t>タカモリマチ</t>
  </si>
  <si>
    <t>高山村</t>
    <rPh sb="0" eb="2">
      <t>タカヤマ</t>
    </rPh>
    <rPh sb="2" eb="3">
      <t>ムラ</t>
    </rPh>
    <phoneticPr fontId="35"/>
  </si>
  <si>
    <t>辰野町</t>
    <rPh sb="0" eb="3">
      <t>タツノマチ</t>
    </rPh>
    <phoneticPr fontId="35"/>
  </si>
  <si>
    <t>タツノマチ</t>
  </si>
  <si>
    <t>立科町</t>
    <rPh sb="0" eb="3">
      <t>タテシナマチ</t>
    </rPh>
    <phoneticPr fontId="35"/>
  </si>
  <si>
    <t>タテシナマチ</t>
  </si>
  <si>
    <t>千曲市</t>
    <rPh sb="0" eb="3">
      <t>チクマシ</t>
    </rPh>
    <phoneticPr fontId="35"/>
  </si>
  <si>
    <t>チクマシ</t>
  </si>
  <si>
    <t>茅野市</t>
    <rPh sb="0" eb="3">
      <t>チノシ</t>
    </rPh>
    <phoneticPr fontId="35"/>
  </si>
  <si>
    <t>チノシ</t>
  </si>
  <si>
    <t>筑北村</t>
    <rPh sb="0" eb="1">
      <t>ツク</t>
    </rPh>
    <rPh sb="1" eb="3">
      <t>キタムラ</t>
    </rPh>
    <phoneticPr fontId="35"/>
  </si>
  <si>
    <t>ツクキタムラ</t>
  </si>
  <si>
    <t>天龍村</t>
    <rPh sb="0" eb="3">
      <t>テンリュウムラ</t>
    </rPh>
    <phoneticPr fontId="35"/>
  </si>
  <si>
    <t>テンリュウムラ</t>
  </si>
  <si>
    <t>東御市</t>
    <rPh sb="0" eb="3">
      <t>トウミシ</t>
    </rPh>
    <phoneticPr fontId="35"/>
  </si>
  <si>
    <t>トウミシ</t>
  </si>
  <si>
    <t>豊丘村</t>
    <rPh sb="0" eb="3">
      <t>トヨオカムラ</t>
    </rPh>
    <phoneticPr fontId="35"/>
  </si>
  <si>
    <t>トヨオカムラ</t>
  </si>
  <si>
    <t>中川村</t>
    <rPh sb="0" eb="2">
      <t>ナカガワ</t>
    </rPh>
    <rPh sb="2" eb="3">
      <t>ムラ</t>
    </rPh>
    <phoneticPr fontId="35"/>
  </si>
  <si>
    <t>ナカガワムラ</t>
  </si>
  <si>
    <t>中野市</t>
    <rPh sb="0" eb="3">
      <t>ナカノシ</t>
    </rPh>
    <phoneticPr fontId="35"/>
  </si>
  <si>
    <t>ナカノシ</t>
  </si>
  <si>
    <t>長野市</t>
    <rPh sb="0" eb="3">
      <t>ナガノシ</t>
    </rPh>
    <phoneticPr fontId="35"/>
  </si>
  <si>
    <t>ナガノシ</t>
  </si>
  <si>
    <t>長和町</t>
    <rPh sb="0" eb="3">
      <t>ナガワチョウ</t>
    </rPh>
    <phoneticPr fontId="35"/>
  </si>
  <si>
    <t>ナガワチョウ</t>
  </si>
  <si>
    <t>南木曽町</t>
    <rPh sb="0" eb="4">
      <t>ナギソマチ</t>
    </rPh>
    <phoneticPr fontId="35"/>
  </si>
  <si>
    <t>ナギソマチ</t>
  </si>
  <si>
    <t>根羽村</t>
    <rPh sb="0" eb="3">
      <t>ネバムラ</t>
    </rPh>
    <phoneticPr fontId="35"/>
  </si>
  <si>
    <t>ネバムラ</t>
  </si>
  <si>
    <t>野沢温泉村</t>
    <rPh sb="0" eb="5">
      <t>ノザワオンセンムラ</t>
    </rPh>
    <phoneticPr fontId="35"/>
  </si>
  <si>
    <t>ノザワオンセンムラ</t>
  </si>
  <si>
    <t>白馬村</t>
    <rPh sb="0" eb="3">
      <t>ハクバムラ</t>
    </rPh>
    <phoneticPr fontId="35"/>
  </si>
  <si>
    <t>ハクバムラ</t>
  </si>
  <si>
    <t>飯島町</t>
    <rPh sb="0" eb="3">
      <t>ハシマチョウ</t>
    </rPh>
    <phoneticPr fontId="35"/>
  </si>
  <si>
    <t>ハシマチョウ</t>
  </si>
  <si>
    <t>原村</t>
    <rPh sb="0" eb="2">
      <t>ハラムラ</t>
    </rPh>
    <phoneticPr fontId="35"/>
  </si>
  <si>
    <t>ハラムラ</t>
  </si>
  <si>
    <t>平谷村</t>
    <rPh sb="0" eb="3">
      <t>ヒラヤムラ</t>
    </rPh>
    <phoneticPr fontId="35"/>
  </si>
  <si>
    <t>ヒラヤムラ</t>
  </si>
  <si>
    <t>富士見町</t>
    <rPh sb="0" eb="3">
      <t>フジミ</t>
    </rPh>
    <rPh sb="3" eb="4">
      <t>チョウ</t>
    </rPh>
    <phoneticPr fontId="35"/>
  </si>
  <si>
    <t>フジミチョウ</t>
  </si>
  <si>
    <t>松川町</t>
    <rPh sb="0" eb="3">
      <t>マツカワマチ</t>
    </rPh>
    <phoneticPr fontId="35"/>
  </si>
  <si>
    <t>マツカワマチ</t>
  </si>
  <si>
    <t>松川村</t>
    <rPh sb="0" eb="3">
      <t>マツカワムラ</t>
    </rPh>
    <phoneticPr fontId="35"/>
  </si>
  <si>
    <t>マツカワムラ</t>
  </si>
  <si>
    <t>松本市</t>
    <rPh sb="0" eb="3">
      <t>マツモトシ</t>
    </rPh>
    <phoneticPr fontId="35"/>
  </si>
  <si>
    <t>マツモトシ</t>
  </si>
  <si>
    <t>南相木村</t>
    <rPh sb="0" eb="4">
      <t>ミナミアイキムラ</t>
    </rPh>
    <phoneticPr fontId="35"/>
  </si>
  <si>
    <t>ミナミアイキムラ</t>
  </si>
  <si>
    <t>南牧村</t>
    <rPh sb="0" eb="3">
      <t>ミナミマキムラ</t>
    </rPh>
    <phoneticPr fontId="35"/>
  </si>
  <si>
    <t>南箕輪村</t>
    <rPh sb="0" eb="4">
      <t>ミナミミノワムラ</t>
    </rPh>
    <phoneticPr fontId="35"/>
  </si>
  <si>
    <t>ミナミミノワムラ</t>
  </si>
  <si>
    <t>箕輪町</t>
    <rPh sb="0" eb="3">
      <t>ミノワマチ</t>
    </rPh>
    <phoneticPr fontId="35"/>
  </si>
  <si>
    <t>ミノワマチ</t>
  </si>
  <si>
    <t>宮田村</t>
    <rPh sb="0" eb="3">
      <t>ミヤダムラ</t>
    </rPh>
    <phoneticPr fontId="35"/>
  </si>
  <si>
    <t>ミヤダムラ</t>
  </si>
  <si>
    <t>御代田町</t>
    <rPh sb="0" eb="4">
      <t>ミヨタマチ</t>
    </rPh>
    <phoneticPr fontId="35"/>
  </si>
  <si>
    <t>ミヨタマチ</t>
  </si>
  <si>
    <t>泰阜村</t>
    <rPh sb="0" eb="3">
      <t>ヤスオカムラ</t>
    </rPh>
    <phoneticPr fontId="35"/>
  </si>
  <si>
    <t>ヤスオカムラ</t>
  </si>
  <si>
    <t>山形村</t>
    <rPh sb="0" eb="3">
      <t>ヤマガタムラ</t>
    </rPh>
    <phoneticPr fontId="35"/>
  </si>
  <si>
    <t>ヤマガタムラ</t>
  </si>
  <si>
    <t>山ノ内町</t>
    <rPh sb="0" eb="1">
      <t>ヤマ</t>
    </rPh>
    <rPh sb="2" eb="4">
      <t>ウチマチ</t>
    </rPh>
    <phoneticPr fontId="35"/>
  </si>
  <si>
    <t>ヤマノウチマチ</t>
  </si>
  <si>
    <t>岐阜県</t>
  </si>
  <si>
    <t>安八町</t>
    <rPh sb="0" eb="3">
      <t>アンパチチョウ</t>
    </rPh>
    <phoneticPr fontId="5"/>
  </si>
  <si>
    <t>アンパチチョウ</t>
  </si>
  <si>
    <t>揖斐川町</t>
    <rPh sb="0" eb="4">
      <t>イビガワチョウ</t>
    </rPh>
    <phoneticPr fontId="5"/>
  </si>
  <si>
    <t>イビガワチョウ</t>
  </si>
  <si>
    <t>恵那市</t>
    <rPh sb="0" eb="3">
      <t>エナシ</t>
    </rPh>
    <phoneticPr fontId="5"/>
  </si>
  <si>
    <t>エナシ</t>
  </si>
  <si>
    <t>大垣市(旧大垣市、旧墨俣町に限る。)</t>
    <rPh sb="0" eb="3">
      <t>オオガキシ</t>
    </rPh>
    <rPh sb="4" eb="5">
      <t>キュウ</t>
    </rPh>
    <rPh sb="5" eb="8">
      <t>オオガキシ</t>
    </rPh>
    <rPh sb="9" eb="10">
      <t>キュウ</t>
    </rPh>
    <rPh sb="10" eb="13">
      <t>スノマタチョウ</t>
    </rPh>
    <rPh sb="14" eb="15">
      <t>カギ</t>
    </rPh>
    <phoneticPr fontId="5"/>
  </si>
  <si>
    <t>オオガキシ(キュウオオガキシ、キュウスノマタチョウニカギル。)</t>
  </si>
  <si>
    <t>大垣市(旧上石津町に限る。)</t>
    <rPh sb="0" eb="3">
      <t>オオガキシ</t>
    </rPh>
    <rPh sb="4" eb="5">
      <t>キュウ</t>
    </rPh>
    <rPh sb="5" eb="9">
      <t>カミイシヅチョウ</t>
    </rPh>
    <rPh sb="10" eb="11">
      <t>カギ</t>
    </rPh>
    <phoneticPr fontId="5"/>
  </si>
  <si>
    <t>オオガキシ(キュウカミイシヅチョウニカギル。)</t>
  </si>
  <si>
    <t>大野町</t>
    <rPh sb="0" eb="3">
      <t>オオノチョウ</t>
    </rPh>
    <phoneticPr fontId="5"/>
  </si>
  <si>
    <t>オオノチョウ</t>
  </si>
  <si>
    <t>海津市</t>
    <rPh sb="0" eb="3">
      <t>カイヅシ</t>
    </rPh>
    <phoneticPr fontId="5"/>
  </si>
  <si>
    <t>カイヅシ</t>
  </si>
  <si>
    <t>各務原市</t>
    <rPh sb="0" eb="4">
      <t>カカミガハラシ</t>
    </rPh>
    <phoneticPr fontId="5"/>
  </si>
  <si>
    <t>カカミガハラシ</t>
  </si>
  <si>
    <t>笠松町</t>
    <rPh sb="0" eb="3">
      <t>カサマツチョウ</t>
    </rPh>
    <phoneticPr fontId="5"/>
  </si>
  <si>
    <t>カサマツチョウ</t>
  </si>
  <si>
    <t>可児市</t>
    <rPh sb="0" eb="3">
      <t>カニシ</t>
    </rPh>
    <phoneticPr fontId="5"/>
  </si>
  <si>
    <t>カニシ</t>
  </si>
  <si>
    <t>川辺町</t>
    <rPh sb="0" eb="3">
      <t>カワベチョウ</t>
    </rPh>
    <phoneticPr fontId="5"/>
  </si>
  <si>
    <t>カワベチョウ</t>
  </si>
  <si>
    <t>岐南町</t>
    <rPh sb="0" eb="3">
      <t>ギナンチョウ</t>
    </rPh>
    <phoneticPr fontId="5"/>
  </si>
  <si>
    <t>ギナンチョウ</t>
  </si>
  <si>
    <t>岐阜市</t>
    <rPh sb="0" eb="3">
      <t>ギフシ</t>
    </rPh>
    <phoneticPr fontId="5"/>
  </si>
  <si>
    <t>ギフシ</t>
  </si>
  <si>
    <t>郡上市（旧高鷲村に限る。）</t>
    <rPh sb="0" eb="3">
      <t>グジョウシ</t>
    </rPh>
    <rPh sb="4" eb="5">
      <t>キュウ</t>
    </rPh>
    <rPh sb="5" eb="8">
      <t>タカスムラ</t>
    </rPh>
    <rPh sb="9" eb="10">
      <t>カギ</t>
    </rPh>
    <phoneticPr fontId="5"/>
  </si>
  <si>
    <t>グジョウシ（キュウタカスムラニカギル。）</t>
  </si>
  <si>
    <t>郡上市(旧美並村に限る。)</t>
    <rPh sb="0" eb="3">
      <t>グジョウシ</t>
    </rPh>
    <rPh sb="4" eb="5">
      <t>キュウ</t>
    </rPh>
    <rPh sb="5" eb="8">
      <t>ミナミムラ</t>
    </rPh>
    <rPh sb="9" eb="10">
      <t>カギ</t>
    </rPh>
    <phoneticPr fontId="5"/>
  </si>
  <si>
    <t>グジョウシ(キュウミナミムラニカギル。)</t>
  </si>
  <si>
    <t>郡上市(旧八幡町、旧大和町、旧白鳥町、旧明宝村、旧和良村に限る。)</t>
    <rPh sb="0" eb="3">
      <t>グジョウシ</t>
    </rPh>
    <rPh sb="4" eb="5">
      <t>キュウ</t>
    </rPh>
    <rPh sb="5" eb="8">
      <t>ヤワタチョウ</t>
    </rPh>
    <rPh sb="9" eb="10">
      <t>キュウ</t>
    </rPh>
    <rPh sb="10" eb="13">
      <t>ダイワチョウ</t>
    </rPh>
    <rPh sb="14" eb="15">
      <t>キュウ</t>
    </rPh>
    <rPh sb="15" eb="18">
      <t>シラトリチョウ</t>
    </rPh>
    <rPh sb="19" eb="20">
      <t>キュウ</t>
    </rPh>
    <rPh sb="20" eb="23">
      <t>メイホウムラ</t>
    </rPh>
    <rPh sb="24" eb="25">
      <t>キュウ</t>
    </rPh>
    <rPh sb="25" eb="27">
      <t>カズヨシ</t>
    </rPh>
    <rPh sb="27" eb="28">
      <t>ムラ</t>
    </rPh>
    <rPh sb="29" eb="30">
      <t>カギ</t>
    </rPh>
    <phoneticPr fontId="5"/>
  </si>
  <si>
    <t>グジョウシ(キュウヤワタチョウ、キュウダイワチョウ、キュウシラトリチョウ、キュウメイホウムラ、キュウカズヨシムラニカギル。)</t>
  </si>
  <si>
    <t>下呂市（旧小坂町、旧馬瀬村に限る。）</t>
    <rPh sb="0" eb="3">
      <t>ゲロシ</t>
    </rPh>
    <rPh sb="4" eb="5">
      <t>キュウ</t>
    </rPh>
    <rPh sb="5" eb="8">
      <t>コザカチョウ</t>
    </rPh>
    <rPh sb="9" eb="10">
      <t>キュウ</t>
    </rPh>
    <rPh sb="10" eb="12">
      <t>マセ</t>
    </rPh>
    <rPh sb="12" eb="13">
      <t>ムラ</t>
    </rPh>
    <rPh sb="14" eb="15">
      <t>カギ</t>
    </rPh>
    <phoneticPr fontId="5"/>
  </si>
  <si>
    <t>ゲロシ（キュウコザカチョウ、キュウマセムラニカギル。）</t>
  </si>
  <si>
    <t>下呂市(旧萩原町、旧下呂町、旧金山町に限る。)</t>
    <rPh sb="0" eb="3">
      <t>ゲロシ</t>
    </rPh>
    <rPh sb="4" eb="5">
      <t>キュウ</t>
    </rPh>
    <rPh sb="5" eb="8">
      <t>ハギワラチョウ</t>
    </rPh>
    <rPh sb="9" eb="10">
      <t>キュウ</t>
    </rPh>
    <rPh sb="10" eb="13">
      <t>ゲロチョウ</t>
    </rPh>
    <rPh sb="14" eb="15">
      <t>キュウ</t>
    </rPh>
    <rPh sb="15" eb="18">
      <t>カナヤマチョウ</t>
    </rPh>
    <rPh sb="19" eb="20">
      <t>カギ</t>
    </rPh>
    <phoneticPr fontId="5"/>
  </si>
  <si>
    <t>ゲロシ(キュウハギワラチョウ、キュウゲロチョウ、キュウカナヤマチョウニカギル。)</t>
  </si>
  <si>
    <t>神戸町</t>
    <rPh sb="0" eb="2">
      <t>コウベ</t>
    </rPh>
    <rPh sb="2" eb="3">
      <t>チョウ</t>
    </rPh>
    <phoneticPr fontId="5"/>
  </si>
  <si>
    <t>コウベチョウ</t>
  </si>
  <si>
    <t>坂祝町</t>
    <rPh sb="0" eb="3">
      <t>サカホギチョウ</t>
    </rPh>
    <phoneticPr fontId="5"/>
  </si>
  <si>
    <t>サカホギチョウ</t>
  </si>
  <si>
    <t>白川町</t>
    <rPh sb="0" eb="3">
      <t>シラカワチョウ</t>
    </rPh>
    <phoneticPr fontId="5"/>
  </si>
  <si>
    <t>シラカワチョウ</t>
  </si>
  <si>
    <t>白川村</t>
    <rPh sb="0" eb="3">
      <t>シラカワムラ</t>
    </rPh>
    <phoneticPr fontId="5"/>
  </si>
  <si>
    <t>シラカワムラ</t>
  </si>
  <si>
    <t>関ケ原町</t>
    <rPh sb="0" eb="4">
      <t>セキガハラチョウ</t>
    </rPh>
    <phoneticPr fontId="5"/>
  </si>
  <si>
    <t>セキガハラチョウ</t>
  </si>
  <si>
    <t>関市</t>
    <rPh sb="0" eb="2">
      <t>セキシ</t>
    </rPh>
    <phoneticPr fontId="5"/>
  </si>
  <si>
    <t>セキシ</t>
  </si>
  <si>
    <t>高山市</t>
    <rPh sb="0" eb="3">
      <t>タカヤマシ</t>
    </rPh>
    <phoneticPr fontId="5"/>
  </si>
  <si>
    <t>タカヤマシ</t>
  </si>
  <si>
    <t>多治見市</t>
    <rPh sb="0" eb="4">
      <t>タジミシ</t>
    </rPh>
    <phoneticPr fontId="5"/>
  </si>
  <si>
    <t>タジミシ</t>
  </si>
  <si>
    <t>垂井町</t>
    <rPh sb="0" eb="3">
      <t>タルイチョウ</t>
    </rPh>
    <phoneticPr fontId="5"/>
  </si>
  <si>
    <t>タルイチョウ</t>
  </si>
  <si>
    <t>土岐市</t>
    <rPh sb="0" eb="3">
      <t>トキシ</t>
    </rPh>
    <phoneticPr fontId="5"/>
  </si>
  <si>
    <t>トキシ</t>
  </si>
  <si>
    <t>富加町</t>
    <rPh sb="0" eb="3">
      <t>トミカチョウ</t>
    </rPh>
    <phoneticPr fontId="5"/>
  </si>
  <si>
    <t>トミカチョウ</t>
  </si>
  <si>
    <t>中津川市(旧中津川市に限る。)</t>
    <rPh sb="0" eb="4">
      <t>ナカツガワシ</t>
    </rPh>
    <rPh sb="5" eb="6">
      <t>キュウ</t>
    </rPh>
    <rPh sb="6" eb="10">
      <t>ナカツガワシ</t>
    </rPh>
    <rPh sb="11" eb="12">
      <t>カギ</t>
    </rPh>
    <phoneticPr fontId="5"/>
  </si>
  <si>
    <t>ナカツガワシ(キュウナカツガワシニカギル。)</t>
  </si>
  <si>
    <t>中津川市(旧長野県木曽郡山口村、旧坂下町、旧川上村、旧加子母村、旧付知町、旧福岡町、旧蛭川村に限る。)</t>
    <rPh sb="0" eb="4">
      <t>ナカツガワシ</t>
    </rPh>
    <rPh sb="5" eb="6">
      <t>キュウ</t>
    </rPh>
    <rPh sb="6" eb="9">
      <t>ナガノケン</t>
    </rPh>
    <rPh sb="9" eb="12">
      <t>キソグン</t>
    </rPh>
    <rPh sb="12" eb="15">
      <t>ヤマグチムラ</t>
    </rPh>
    <rPh sb="16" eb="17">
      <t>キュウ</t>
    </rPh>
    <rPh sb="17" eb="20">
      <t>サカシタチョウ</t>
    </rPh>
    <rPh sb="21" eb="22">
      <t>キュウ</t>
    </rPh>
    <rPh sb="22" eb="24">
      <t>カワカミ</t>
    </rPh>
    <rPh sb="24" eb="25">
      <t>ムラ</t>
    </rPh>
    <rPh sb="26" eb="27">
      <t>キュウ</t>
    </rPh>
    <rPh sb="27" eb="31">
      <t>カシモムラ</t>
    </rPh>
    <rPh sb="32" eb="33">
      <t>キュウ</t>
    </rPh>
    <rPh sb="33" eb="36">
      <t>ツケチチョウ</t>
    </rPh>
    <rPh sb="37" eb="38">
      <t>キュウ</t>
    </rPh>
    <rPh sb="38" eb="41">
      <t>フクオカチョウ</t>
    </rPh>
    <rPh sb="42" eb="43">
      <t>キュウ</t>
    </rPh>
    <rPh sb="43" eb="45">
      <t>ヒルカワ</t>
    </rPh>
    <rPh sb="45" eb="46">
      <t>ムラ</t>
    </rPh>
    <rPh sb="47" eb="48">
      <t>カギ</t>
    </rPh>
    <phoneticPr fontId="5"/>
  </si>
  <si>
    <t>ナカツガワシ(キュウナガノケンキソグンヤマグチムラ、キュウサカシタチョウ、キュウカワカミムラ、キュウカシモムラ、キュウツケチチョウ、キュウフクオカチョウ、キュウヒルカワムラニカギル。)</t>
  </si>
  <si>
    <t>羽島市</t>
    <rPh sb="0" eb="3">
      <t>ハシマシ</t>
    </rPh>
    <phoneticPr fontId="5"/>
  </si>
  <si>
    <t>ハシマシ</t>
  </si>
  <si>
    <t>東白川村</t>
    <rPh sb="0" eb="4">
      <t>ヒガシシラカワムラ</t>
    </rPh>
    <phoneticPr fontId="5"/>
  </si>
  <si>
    <t>ヒガシシラカワムラ</t>
  </si>
  <si>
    <t>飛騨市</t>
    <rPh sb="0" eb="2">
      <t>ヒダ</t>
    </rPh>
    <rPh sb="2" eb="3">
      <t>シ</t>
    </rPh>
    <phoneticPr fontId="5"/>
  </si>
  <si>
    <t>ヒダシ</t>
  </si>
  <si>
    <t>七宗町</t>
    <rPh sb="0" eb="3">
      <t>ヒチソウチョウ</t>
    </rPh>
    <phoneticPr fontId="5"/>
  </si>
  <si>
    <t>ヒチソウチョウ</t>
  </si>
  <si>
    <t>北方町</t>
    <rPh sb="0" eb="3">
      <t>ボッケマチ</t>
    </rPh>
    <phoneticPr fontId="5"/>
  </si>
  <si>
    <t>ボッケマチ</t>
  </si>
  <si>
    <t>瑞浪市</t>
    <rPh sb="0" eb="3">
      <t>ミズナミシ</t>
    </rPh>
    <phoneticPr fontId="5"/>
  </si>
  <si>
    <t>ミズナミシ</t>
  </si>
  <si>
    <t>瑞穂市</t>
    <rPh sb="0" eb="3">
      <t>ミズホシ</t>
    </rPh>
    <phoneticPr fontId="5"/>
  </si>
  <si>
    <t>ミズホシ</t>
  </si>
  <si>
    <t>御嵩町</t>
    <rPh sb="0" eb="3">
      <t>ミタケチョウ</t>
    </rPh>
    <phoneticPr fontId="5"/>
  </si>
  <si>
    <t>ミタケチョウ</t>
  </si>
  <si>
    <t>美濃加茂市</t>
    <rPh sb="0" eb="5">
      <t>ミノカモシ</t>
    </rPh>
    <phoneticPr fontId="5"/>
  </si>
  <si>
    <t>ミノカモシ</t>
  </si>
  <si>
    <t>美濃市</t>
    <rPh sb="0" eb="3">
      <t>ミノシ</t>
    </rPh>
    <phoneticPr fontId="5"/>
  </si>
  <si>
    <t>ミノシ</t>
  </si>
  <si>
    <t>本巣市（旧根尾村に限る。）</t>
    <rPh sb="0" eb="3">
      <t>モトスシ</t>
    </rPh>
    <rPh sb="4" eb="5">
      <t>キュウ</t>
    </rPh>
    <rPh sb="5" eb="7">
      <t>ネオ</t>
    </rPh>
    <rPh sb="7" eb="8">
      <t>ムラ</t>
    </rPh>
    <rPh sb="9" eb="10">
      <t>カギ</t>
    </rPh>
    <phoneticPr fontId="5"/>
  </si>
  <si>
    <t>モトスシ（キュウネオムラニカギル。）</t>
  </si>
  <si>
    <t>本巣市（旧本巣町、旧真正町、旧糸貫町に限る。）</t>
    <rPh sb="0" eb="3">
      <t>モトスシ</t>
    </rPh>
    <rPh sb="4" eb="5">
      <t>キュウ</t>
    </rPh>
    <rPh sb="5" eb="8">
      <t>モトスチョウ</t>
    </rPh>
    <rPh sb="9" eb="10">
      <t>キュウ</t>
    </rPh>
    <rPh sb="10" eb="13">
      <t>シンセイチョウ</t>
    </rPh>
    <rPh sb="14" eb="15">
      <t>キュウ</t>
    </rPh>
    <rPh sb="15" eb="18">
      <t>イトヌキチョウ</t>
    </rPh>
    <rPh sb="19" eb="20">
      <t>カギ</t>
    </rPh>
    <phoneticPr fontId="5"/>
  </si>
  <si>
    <t>モトスシ（キュウモトスチョウ、キュウシンセイチョウ、キュウイトヌキチョウニカギル。）</t>
  </si>
  <si>
    <t>八百津町</t>
    <rPh sb="0" eb="4">
      <t>ヤオツチョウ</t>
    </rPh>
    <phoneticPr fontId="5"/>
  </si>
  <si>
    <t>ヤオツチョウ</t>
  </si>
  <si>
    <t>山県市</t>
    <rPh sb="0" eb="2">
      <t>ヤマガタ</t>
    </rPh>
    <rPh sb="2" eb="3">
      <t>シ</t>
    </rPh>
    <phoneticPr fontId="5"/>
  </si>
  <si>
    <t>養老町</t>
    <rPh sb="0" eb="3">
      <t>ヨウロウチョウ</t>
    </rPh>
    <phoneticPr fontId="5"/>
  </si>
  <si>
    <t>ヨウロウチョウ</t>
  </si>
  <si>
    <t>輪之内町</t>
    <rPh sb="0" eb="4">
      <t>ワノウチチョウ</t>
    </rPh>
    <phoneticPr fontId="5"/>
  </si>
  <si>
    <t>ワノウチチョウ</t>
  </si>
  <si>
    <t>静岡県</t>
  </si>
  <si>
    <t>熱海市</t>
    <rPh sb="0" eb="3">
      <t>アタミシ</t>
    </rPh>
    <phoneticPr fontId="5"/>
  </si>
  <si>
    <t>アタミシ</t>
  </si>
  <si>
    <t>伊豆市</t>
    <rPh sb="0" eb="2">
      <t>イズ</t>
    </rPh>
    <rPh sb="2" eb="3">
      <t>シ</t>
    </rPh>
    <phoneticPr fontId="5"/>
  </si>
  <si>
    <t>イズシ</t>
  </si>
  <si>
    <t>伊豆の国市</t>
    <rPh sb="0" eb="2">
      <t>イズ</t>
    </rPh>
    <rPh sb="3" eb="5">
      <t>クニシ</t>
    </rPh>
    <phoneticPr fontId="5"/>
  </si>
  <si>
    <t>イズノクニシ</t>
  </si>
  <si>
    <t>伊東市</t>
    <rPh sb="0" eb="3">
      <t>イトウシ</t>
    </rPh>
    <phoneticPr fontId="5"/>
  </si>
  <si>
    <t>イトウシ</t>
  </si>
  <si>
    <t>磐田市</t>
    <rPh sb="0" eb="3">
      <t>イワタシ</t>
    </rPh>
    <phoneticPr fontId="5"/>
  </si>
  <si>
    <t>イワタシ</t>
  </si>
  <si>
    <t>御前崎市</t>
    <rPh sb="0" eb="4">
      <t>オマエザキシ</t>
    </rPh>
    <phoneticPr fontId="5"/>
  </si>
  <si>
    <t>オマエザキシ</t>
  </si>
  <si>
    <t>小山町</t>
    <rPh sb="0" eb="3">
      <t>オヤマチョウ</t>
    </rPh>
    <phoneticPr fontId="5"/>
  </si>
  <si>
    <t>オヤマチョウ</t>
  </si>
  <si>
    <t>掛川市</t>
    <rPh sb="0" eb="3">
      <t>カケガワシ</t>
    </rPh>
    <phoneticPr fontId="5"/>
  </si>
  <si>
    <t>カケガワシ</t>
  </si>
  <si>
    <t>河津町</t>
    <rPh sb="0" eb="3">
      <t>カワヅチョウ</t>
    </rPh>
    <phoneticPr fontId="5"/>
  </si>
  <si>
    <t>カワヅチョウ</t>
  </si>
  <si>
    <t>川根本町</t>
    <rPh sb="0" eb="2">
      <t>カワネ</t>
    </rPh>
    <rPh sb="2" eb="4">
      <t>ホンマチ</t>
    </rPh>
    <phoneticPr fontId="5"/>
  </si>
  <si>
    <t>カワネホンマチ</t>
  </si>
  <si>
    <t>函南町</t>
    <rPh sb="0" eb="3">
      <t>カンナミチョウ</t>
    </rPh>
    <phoneticPr fontId="5"/>
  </si>
  <si>
    <t>カンナミチョウ</t>
  </si>
  <si>
    <t>菊川市</t>
    <rPh sb="0" eb="2">
      <t>キクカワ</t>
    </rPh>
    <rPh sb="2" eb="3">
      <t>シ</t>
    </rPh>
    <phoneticPr fontId="5"/>
  </si>
  <si>
    <t>キクカワシ</t>
  </si>
  <si>
    <t>湖西市</t>
    <rPh sb="0" eb="3">
      <t>コサイシ</t>
    </rPh>
    <phoneticPr fontId="5"/>
  </si>
  <si>
    <t>コサイシ</t>
  </si>
  <si>
    <t>御殿場市</t>
    <rPh sb="0" eb="4">
      <t>ゴテンバシ</t>
    </rPh>
    <phoneticPr fontId="5"/>
  </si>
  <si>
    <t>ゴテンバシ</t>
  </si>
  <si>
    <t>静岡市</t>
    <rPh sb="0" eb="3">
      <t>シズオカシ</t>
    </rPh>
    <phoneticPr fontId="5"/>
  </si>
  <si>
    <t>シズオカシ</t>
  </si>
  <si>
    <t>島田市</t>
    <rPh sb="0" eb="3">
      <t>シマダシ</t>
    </rPh>
    <phoneticPr fontId="5"/>
  </si>
  <si>
    <t>シマダシ</t>
  </si>
  <si>
    <t>下田市</t>
    <rPh sb="0" eb="3">
      <t>シモダシ</t>
    </rPh>
    <phoneticPr fontId="5"/>
  </si>
  <si>
    <t>シモダシ</t>
  </si>
  <si>
    <t>裾野市</t>
    <rPh sb="0" eb="3">
      <t>スソノシ</t>
    </rPh>
    <phoneticPr fontId="5"/>
  </si>
  <si>
    <t>スソノシ</t>
  </si>
  <si>
    <t>長泉町</t>
    <rPh sb="0" eb="3">
      <t>ナガイズミチョウ</t>
    </rPh>
    <phoneticPr fontId="5"/>
  </si>
  <si>
    <t>ナガイズミチョウ</t>
  </si>
  <si>
    <t>西伊豆町</t>
    <rPh sb="0" eb="4">
      <t>ニシイズチョウ</t>
    </rPh>
    <phoneticPr fontId="5"/>
  </si>
  <si>
    <t>ニシイズチョウ</t>
  </si>
  <si>
    <t>沼津市</t>
    <rPh sb="0" eb="3">
      <t>ヌマヅシ</t>
    </rPh>
    <phoneticPr fontId="5"/>
  </si>
  <si>
    <t>ヌマヅシ</t>
  </si>
  <si>
    <t>浜松市</t>
    <rPh sb="0" eb="3">
      <t>ハママツシ</t>
    </rPh>
    <phoneticPr fontId="5"/>
  </si>
  <si>
    <t>ハママツシ</t>
  </si>
  <si>
    <t>東伊豆町</t>
    <rPh sb="0" eb="4">
      <t>ヒガシイズチョウ</t>
    </rPh>
    <phoneticPr fontId="5"/>
  </si>
  <si>
    <t>ヒガシイズチョウ</t>
  </si>
  <si>
    <t>袋井市</t>
    <rPh sb="0" eb="3">
      <t>フクロイシ</t>
    </rPh>
    <phoneticPr fontId="5"/>
  </si>
  <si>
    <t>フクロイシ</t>
  </si>
  <si>
    <t>藤枝市</t>
    <rPh sb="0" eb="3">
      <t>フジエダシ</t>
    </rPh>
    <phoneticPr fontId="5"/>
  </si>
  <si>
    <t>フジエダシ</t>
  </si>
  <si>
    <t>富士市</t>
    <rPh sb="0" eb="3">
      <t>フジシ</t>
    </rPh>
    <phoneticPr fontId="5"/>
  </si>
  <si>
    <t>フジシ</t>
  </si>
  <si>
    <t>富士宮市</t>
    <rPh sb="0" eb="4">
      <t>フジノミヤシ</t>
    </rPh>
    <phoneticPr fontId="5"/>
  </si>
  <si>
    <t>フジノミヤシ</t>
  </si>
  <si>
    <t>牧之原市</t>
    <rPh sb="0" eb="4">
      <t>マキノハラシ</t>
    </rPh>
    <phoneticPr fontId="5"/>
  </si>
  <si>
    <t>マキノハラシ</t>
  </si>
  <si>
    <t>松崎町</t>
    <rPh sb="0" eb="3">
      <t>マツザキチョウ</t>
    </rPh>
    <phoneticPr fontId="5"/>
  </si>
  <si>
    <t>マツザキチョウ</t>
  </si>
  <si>
    <t>三島市</t>
    <rPh sb="0" eb="3">
      <t>ミシマシ</t>
    </rPh>
    <phoneticPr fontId="5"/>
  </si>
  <si>
    <t>ミシマシ</t>
  </si>
  <si>
    <t>南伊豆町</t>
    <rPh sb="0" eb="4">
      <t>ミナミイズチョウ</t>
    </rPh>
    <phoneticPr fontId="5"/>
  </si>
  <si>
    <t>ミナミイズチョウ</t>
  </si>
  <si>
    <t>焼津市</t>
    <rPh sb="0" eb="3">
      <t>ヤイヅシ</t>
    </rPh>
    <phoneticPr fontId="5"/>
  </si>
  <si>
    <t>ヤイヅシ</t>
  </si>
  <si>
    <t>吉田町</t>
    <rPh sb="0" eb="3">
      <t>ヨシダチョウ</t>
    </rPh>
    <phoneticPr fontId="5"/>
  </si>
  <si>
    <t>ヨシダチョウ</t>
  </si>
  <si>
    <t>愛知県</t>
  </si>
  <si>
    <t>愛西市</t>
    <rPh sb="0" eb="3">
      <t>アイサイシ</t>
    </rPh>
    <phoneticPr fontId="5"/>
  </si>
  <si>
    <t>アイサイシ</t>
  </si>
  <si>
    <t>阿久比町</t>
    <rPh sb="0" eb="4">
      <t>アグイチョウ</t>
    </rPh>
    <phoneticPr fontId="5"/>
  </si>
  <si>
    <t>アグイチョウ</t>
  </si>
  <si>
    <t>あま市</t>
    <rPh sb="2" eb="3">
      <t>シ</t>
    </rPh>
    <phoneticPr fontId="5"/>
  </si>
  <si>
    <t>アマシ</t>
  </si>
  <si>
    <t>安城市</t>
    <rPh sb="0" eb="3">
      <t>アンジョウシ</t>
    </rPh>
    <phoneticPr fontId="5"/>
  </si>
  <si>
    <t>アンジョウシ</t>
  </si>
  <si>
    <t>一宮市</t>
    <rPh sb="0" eb="3">
      <t>イチノミヤシ</t>
    </rPh>
    <phoneticPr fontId="5"/>
  </si>
  <si>
    <t>イチノミヤシ</t>
  </si>
  <si>
    <t>稲沢市</t>
    <rPh sb="0" eb="3">
      <t>イナザワシ</t>
    </rPh>
    <phoneticPr fontId="5"/>
  </si>
  <si>
    <t>イナザワシ</t>
  </si>
  <si>
    <t>犬山市</t>
    <rPh sb="0" eb="3">
      <t>イヌヤマシ</t>
    </rPh>
    <phoneticPr fontId="5"/>
  </si>
  <si>
    <t>イヌヤマシ</t>
  </si>
  <si>
    <t>岩倉市</t>
    <rPh sb="0" eb="3">
      <t>イワクラシ</t>
    </rPh>
    <phoneticPr fontId="5"/>
  </si>
  <si>
    <t>イワクラシ</t>
  </si>
  <si>
    <t>大口町</t>
    <rPh sb="0" eb="3">
      <t>オオグチチョウ</t>
    </rPh>
    <phoneticPr fontId="5"/>
  </si>
  <si>
    <t>オオグチチョウ</t>
  </si>
  <si>
    <t>大治町</t>
    <rPh sb="0" eb="3">
      <t>オオハルチョウ</t>
    </rPh>
    <phoneticPr fontId="5"/>
  </si>
  <si>
    <t>オオハルチョウ</t>
  </si>
  <si>
    <t>大府市</t>
    <rPh sb="0" eb="3">
      <t>オオブシ</t>
    </rPh>
    <phoneticPr fontId="5"/>
  </si>
  <si>
    <t>オオブシ</t>
  </si>
  <si>
    <t>岡崎市</t>
    <rPh sb="0" eb="3">
      <t>オカザキシ</t>
    </rPh>
    <phoneticPr fontId="5"/>
  </si>
  <si>
    <t>オカザキシ</t>
  </si>
  <si>
    <t>尾張旭市</t>
    <rPh sb="0" eb="4">
      <t>オワリアサヒシ</t>
    </rPh>
    <phoneticPr fontId="5"/>
  </si>
  <si>
    <t>オワリアサヒシ</t>
  </si>
  <si>
    <t>春日井市</t>
    <rPh sb="0" eb="4">
      <t>カスガイシ</t>
    </rPh>
    <phoneticPr fontId="5"/>
  </si>
  <si>
    <t>カスガイシ</t>
  </si>
  <si>
    <t>蒲郡市</t>
    <rPh sb="0" eb="3">
      <t>ガマゴオリシ</t>
    </rPh>
    <phoneticPr fontId="5"/>
  </si>
  <si>
    <t>ガマゴオリシ</t>
  </si>
  <si>
    <t>刈谷市</t>
    <rPh sb="0" eb="3">
      <t>カリヤシ</t>
    </rPh>
    <phoneticPr fontId="5"/>
  </si>
  <si>
    <t>カリヤシ</t>
  </si>
  <si>
    <t>北名古屋市</t>
    <rPh sb="0" eb="1">
      <t>キタ</t>
    </rPh>
    <rPh sb="1" eb="5">
      <t>ナゴヤシ</t>
    </rPh>
    <phoneticPr fontId="5"/>
  </si>
  <si>
    <t>キタナゴヤシ</t>
  </si>
  <si>
    <t>清須市</t>
    <rPh sb="0" eb="3">
      <t>キヨスシ</t>
    </rPh>
    <phoneticPr fontId="5"/>
  </si>
  <si>
    <t>キヨスシ</t>
  </si>
  <si>
    <t>幸田町</t>
    <rPh sb="0" eb="3">
      <t>コウタチョウ</t>
    </rPh>
    <phoneticPr fontId="5"/>
  </si>
  <si>
    <t>コウタチョウ</t>
  </si>
  <si>
    <t>江南市</t>
    <rPh sb="0" eb="3">
      <t>コウナンシ</t>
    </rPh>
    <phoneticPr fontId="5"/>
  </si>
  <si>
    <t>コウナンシ</t>
  </si>
  <si>
    <t>小牧市</t>
    <rPh sb="0" eb="3">
      <t>コマキシ</t>
    </rPh>
    <phoneticPr fontId="5"/>
  </si>
  <si>
    <t>コマキシ</t>
  </si>
  <si>
    <t>設楽町（旧設楽町に限る。）</t>
    <rPh sb="0" eb="3">
      <t>シタラチョウ</t>
    </rPh>
    <rPh sb="4" eb="5">
      <t>キュウ</t>
    </rPh>
    <rPh sb="5" eb="8">
      <t>シタラチョウ</t>
    </rPh>
    <rPh sb="9" eb="10">
      <t>カギ</t>
    </rPh>
    <phoneticPr fontId="5"/>
  </si>
  <si>
    <t>シタラチョウ（キュウシタラチョウニカギル。）</t>
  </si>
  <si>
    <t>設楽町（旧津具村に限る。）</t>
    <rPh sb="0" eb="3">
      <t>シタラチョウ</t>
    </rPh>
    <rPh sb="4" eb="5">
      <t>キュウ</t>
    </rPh>
    <rPh sb="5" eb="8">
      <t>ツグムラ</t>
    </rPh>
    <rPh sb="9" eb="10">
      <t>カギ</t>
    </rPh>
    <phoneticPr fontId="5"/>
  </si>
  <si>
    <t>シタラチョウ（キュウツグムラニカギル。）</t>
  </si>
  <si>
    <t>新城市</t>
    <rPh sb="0" eb="3">
      <t>シンシロシ</t>
    </rPh>
    <phoneticPr fontId="5"/>
  </si>
  <si>
    <t>シンシロシ</t>
  </si>
  <si>
    <t>瀬戸市</t>
    <rPh sb="0" eb="3">
      <t>セトシ</t>
    </rPh>
    <phoneticPr fontId="5"/>
  </si>
  <si>
    <t>セトシ</t>
  </si>
  <si>
    <t>高浜市</t>
    <rPh sb="0" eb="3">
      <t>タカハマシ</t>
    </rPh>
    <phoneticPr fontId="5"/>
  </si>
  <si>
    <t>タカハマシ</t>
  </si>
  <si>
    <t>武豊町</t>
    <rPh sb="0" eb="3">
      <t>タケトヨチョウ</t>
    </rPh>
    <phoneticPr fontId="5"/>
  </si>
  <si>
    <t>タケトヨチョウ</t>
  </si>
  <si>
    <t>田原市</t>
    <rPh sb="0" eb="2">
      <t>タハラ</t>
    </rPh>
    <rPh sb="2" eb="3">
      <t>シ</t>
    </rPh>
    <phoneticPr fontId="5"/>
  </si>
  <si>
    <t>タハラシ</t>
  </si>
  <si>
    <t>知多市</t>
    <rPh sb="0" eb="3">
      <t>チタシ</t>
    </rPh>
    <phoneticPr fontId="5"/>
  </si>
  <si>
    <t>チタシ</t>
  </si>
  <si>
    <t>知立市</t>
    <rPh sb="0" eb="3">
      <t>チリュウシ</t>
    </rPh>
    <phoneticPr fontId="5"/>
  </si>
  <si>
    <t>チリュウシ</t>
  </si>
  <si>
    <t>津島市</t>
    <rPh sb="0" eb="3">
      <t>ツシマシ</t>
    </rPh>
    <phoneticPr fontId="5"/>
  </si>
  <si>
    <t>ツシマシ</t>
  </si>
  <si>
    <t>東栄町</t>
    <rPh sb="0" eb="3">
      <t>トウエイチョウ</t>
    </rPh>
    <phoneticPr fontId="5"/>
  </si>
  <si>
    <t>トウエイチョウ</t>
  </si>
  <si>
    <t>東海市</t>
    <rPh sb="0" eb="3">
      <t>トウカイシ</t>
    </rPh>
    <phoneticPr fontId="5"/>
  </si>
  <si>
    <t>トウカイシ</t>
  </si>
  <si>
    <t>東郷町</t>
    <rPh sb="0" eb="3">
      <t>トウゴウチョウ</t>
    </rPh>
    <phoneticPr fontId="5"/>
  </si>
  <si>
    <t>トウゴウチョウ</t>
  </si>
  <si>
    <t>常滑市</t>
    <rPh sb="0" eb="3">
      <t>トコナメシ</t>
    </rPh>
    <phoneticPr fontId="5"/>
  </si>
  <si>
    <t>トコナメシ</t>
  </si>
  <si>
    <t>飛島村</t>
    <rPh sb="0" eb="3">
      <t>トビシマムラ</t>
    </rPh>
    <phoneticPr fontId="5"/>
  </si>
  <si>
    <t>トビシマムラ</t>
  </si>
  <si>
    <t>豊明市</t>
    <rPh sb="0" eb="3">
      <t>トヨアケシ</t>
    </rPh>
    <phoneticPr fontId="5"/>
  </si>
  <si>
    <t>トヨアケシ</t>
  </si>
  <si>
    <t>豊川市</t>
    <rPh sb="0" eb="3">
      <t>トヨカワシ</t>
    </rPh>
    <phoneticPr fontId="5"/>
  </si>
  <si>
    <t>トヨカワシ</t>
  </si>
  <si>
    <t>豊田市（旧稲武町に限る。）</t>
    <rPh sb="0" eb="3">
      <t>トヨタシ</t>
    </rPh>
    <rPh sb="4" eb="5">
      <t>キュウ</t>
    </rPh>
    <rPh sb="5" eb="8">
      <t>イナブチョウ</t>
    </rPh>
    <rPh sb="9" eb="10">
      <t>カギ</t>
    </rPh>
    <phoneticPr fontId="5"/>
  </si>
  <si>
    <t>トヨタシ（キュウイナブチョウニカギル。）</t>
  </si>
  <si>
    <t>豊田市（旧稲武町を除く。）</t>
    <rPh sb="0" eb="3">
      <t>トヨタシ</t>
    </rPh>
    <rPh sb="4" eb="5">
      <t>キュウ</t>
    </rPh>
    <rPh sb="5" eb="8">
      <t>イナブチョウ</t>
    </rPh>
    <rPh sb="9" eb="10">
      <t>ノゾ</t>
    </rPh>
    <phoneticPr fontId="5"/>
  </si>
  <si>
    <t>トヨタシ（キュウイナブチョウヲノゾク。）</t>
  </si>
  <si>
    <t>豊根村</t>
    <rPh sb="0" eb="3">
      <t>トヨネムラ</t>
    </rPh>
    <phoneticPr fontId="5"/>
  </si>
  <si>
    <t>トヨネムラ</t>
  </si>
  <si>
    <t>豊橋市</t>
    <rPh sb="0" eb="3">
      <t>トヨハシシ</t>
    </rPh>
    <phoneticPr fontId="5"/>
  </si>
  <si>
    <t>トヨハシシ</t>
  </si>
  <si>
    <t>豊山町</t>
    <rPh sb="0" eb="3">
      <t>トヨヤマチョウ</t>
    </rPh>
    <phoneticPr fontId="5"/>
  </si>
  <si>
    <t>トヨヤマチョウ</t>
  </si>
  <si>
    <t>長久手市</t>
    <rPh sb="0" eb="4">
      <t>ナガクテシ</t>
    </rPh>
    <phoneticPr fontId="5"/>
  </si>
  <si>
    <t>ナガクテシ</t>
  </si>
  <si>
    <t>名古屋市</t>
    <rPh sb="0" eb="4">
      <t>ナゴヤシ</t>
    </rPh>
    <phoneticPr fontId="5"/>
  </si>
  <si>
    <t>ナゴヤシ</t>
  </si>
  <si>
    <t>西尾市</t>
    <rPh sb="0" eb="3">
      <t>ニシオシ</t>
    </rPh>
    <phoneticPr fontId="5"/>
  </si>
  <si>
    <t>ニシオシ</t>
  </si>
  <si>
    <t>日進市</t>
    <rPh sb="0" eb="3">
      <t>ニッシンシ</t>
    </rPh>
    <phoneticPr fontId="5"/>
  </si>
  <si>
    <t>ニッシンシ</t>
  </si>
  <si>
    <t>半田市</t>
    <rPh sb="0" eb="3">
      <t>ハンダシ</t>
    </rPh>
    <phoneticPr fontId="5"/>
  </si>
  <si>
    <t>ハンダシ</t>
  </si>
  <si>
    <t>東浦町</t>
    <rPh sb="0" eb="3">
      <t>ヒガシウラチョウ</t>
    </rPh>
    <phoneticPr fontId="5"/>
  </si>
  <si>
    <t>ヒガシウラチョウ</t>
  </si>
  <si>
    <t>扶桑町</t>
    <rPh sb="0" eb="3">
      <t>フソウチョウ</t>
    </rPh>
    <phoneticPr fontId="5"/>
  </si>
  <si>
    <t>フソウチョウ</t>
  </si>
  <si>
    <t>碧南市</t>
    <rPh sb="0" eb="3">
      <t>ヘキナンシ</t>
    </rPh>
    <phoneticPr fontId="5"/>
  </si>
  <si>
    <t>ヘキナンシ</t>
  </si>
  <si>
    <t>南知多町</t>
    <rPh sb="0" eb="4">
      <t>ミナミチタチョウ</t>
    </rPh>
    <phoneticPr fontId="5"/>
  </si>
  <si>
    <t>ミナミチタチョウ</t>
  </si>
  <si>
    <t>みよし市</t>
    <rPh sb="3" eb="4">
      <t>シ</t>
    </rPh>
    <phoneticPr fontId="5"/>
  </si>
  <si>
    <t>ミヨシシ</t>
  </si>
  <si>
    <t>弥富市</t>
    <rPh sb="0" eb="3">
      <t>ヤトミシ</t>
    </rPh>
    <phoneticPr fontId="5"/>
  </si>
  <si>
    <t>ヤトミシ</t>
  </si>
  <si>
    <t>三重県</t>
  </si>
  <si>
    <t>伊賀市</t>
    <rPh sb="0" eb="3">
      <t>イガシ</t>
    </rPh>
    <phoneticPr fontId="5"/>
  </si>
  <si>
    <t>イガシ</t>
  </si>
  <si>
    <t>伊勢市</t>
    <rPh sb="0" eb="3">
      <t>イセシ</t>
    </rPh>
    <phoneticPr fontId="5"/>
  </si>
  <si>
    <t>イセシ</t>
  </si>
  <si>
    <t>いなべ市（旧員弁町、旧大安町に限る。）</t>
    <rPh sb="3" eb="4">
      <t>シ</t>
    </rPh>
    <rPh sb="5" eb="6">
      <t>キュウ</t>
    </rPh>
    <rPh sb="6" eb="9">
      <t>イナベチョウ</t>
    </rPh>
    <rPh sb="10" eb="11">
      <t>キュウ</t>
    </rPh>
    <rPh sb="11" eb="14">
      <t>ダイアンチョウ</t>
    </rPh>
    <rPh sb="15" eb="16">
      <t>カギ</t>
    </rPh>
    <phoneticPr fontId="5"/>
  </si>
  <si>
    <t>イナベシ（キュウイナベチョウ、キュウダイアンチョウニカギル。）</t>
  </si>
  <si>
    <t>いなべ市（旧北勢町、旧藤原町に限る。）</t>
    <rPh sb="3" eb="4">
      <t>シ</t>
    </rPh>
    <rPh sb="5" eb="6">
      <t>キュウ</t>
    </rPh>
    <rPh sb="6" eb="9">
      <t>ホクセイチョウ</t>
    </rPh>
    <rPh sb="10" eb="11">
      <t>キュウ</t>
    </rPh>
    <rPh sb="11" eb="14">
      <t>フジワラチョウ</t>
    </rPh>
    <rPh sb="15" eb="16">
      <t>カギ</t>
    </rPh>
    <phoneticPr fontId="5"/>
  </si>
  <si>
    <t>イナベシ（キュウホクセイチョウ、キュウフジワラチョウニカギル。）</t>
  </si>
  <si>
    <t>大台町</t>
    <rPh sb="0" eb="3">
      <t>オオダイチョウ</t>
    </rPh>
    <phoneticPr fontId="5"/>
  </si>
  <si>
    <t>オオダイチョウ</t>
  </si>
  <si>
    <t>尾鷲市</t>
    <rPh sb="0" eb="3">
      <t>オワセシ</t>
    </rPh>
    <phoneticPr fontId="5"/>
  </si>
  <si>
    <t>オワセシ</t>
  </si>
  <si>
    <t>亀山市</t>
    <rPh sb="0" eb="3">
      <t>カメヤマシ</t>
    </rPh>
    <phoneticPr fontId="5"/>
  </si>
  <si>
    <t>カメヤマシ</t>
  </si>
  <si>
    <t>川越町</t>
    <rPh sb="0" eb="3">
      <t>カワゴエチョウ</t>
    </rPh>
    <phoneticPr fontId="5"/>
  </si>
  <si>
    <t>カワゴエチョウ</t>
  </si>
  <si>
    <t>木曽岬町</t>
    <rPh sb="0" eb="4">
      <t>キソサキチョウ</t>
    </rPh>
    <phoneticPr fontId="5"/>
  </si>
  <si>
    <t>キソサキチョウ</t>
  </si>
  <si>
    <t>紀宝町</t>
    <rPh sb="0" eb="3">
      <t>キホウチョウ</t>
    </rPh>
    <phoneticPr fontId="5"/>
  </si>
  <si>
    <t>キホウチョウ</t>
  </si>
  <si>
    <t>紀北町</t>
    <rPh sb="0" eb="3">
      <t>キホクチョウ</t>
    </rPh>
    <phoneticPr fontId="5"/>
  </si>
  <si>
    <t>キホクチョウ</t>
  </si>
  <si>
    <t>熊野市</t>
    <rPh sb="0" eb="3">
      <t>クマノシ</t>
    </rPh>
    <phoneticPr fontId="5"/>
  </si>
  <si>
    <t>クマノシ</t>
  </si>
  <si>
    <t>桑名市</t>
    <rPh sb="0" eb="3">
      <t>クワナシ</t>
    </rPh>
    <phoneticPr fontId="5"/>
  </si>
  <si>
    <t>クワナシ</t>
  </si>
  <si>
    <t>菰野町</t>
    <rPh sb="0" eb="3">
      <t>コモノチョウ</t>
    </rPh>
    <phoneticPr fontId="5"/>
  </si>
  <si>
    <t>コモノチョウ</t>
  </si>
  <si>
    <t>志摩市</t>
    <rPh sb="0" eb="3">
      <t>シマシ</t>
    </rPh>
    <phoneticPr fontId="5"/>
  </si>
  <si>
    <t>シマシ</t>
  </si>
  <si>
    <t>鈴鹿市</t>
    <rPh sb="0" eb="3">
      <t>スズカシ</t>
    </rPh>
    <phoneticPr fontId="5"/>
  </si>
  <si>
    <t>スズカシ</t>
  </si>
  <si>
    <t>大紀町</t>
    <rPh sb="0" eb="2">
      <t>ダイキ</t>
    </rPh>
    <rPh sb="2" eb="3">
      <t>マチ</t>
    </rPh>
    <phoneticPr fontId="5"/>
  </si>
  <si>
    <t>ダイキマチ</t>
  </si>
  <si>
    <t>多気町</t>
    <rPh sb="0" eb="3">
      <t>タキチョウ</t>
    </rPh>
    <phoneticPr fontId="5"/>
  </si>
  <si>
    <t>タキチョウ</t>
  </si>
  <si>
    <t>玉城町</t>
    <rPh sb="0" eb="3">
      <t>タマキチョウ</t>
    </rPh>
    <phoneticPr fontId="5"/>
  </si>
  <si>
    <t>タマキチョウ</t>
  </si>
  <si>
    <t>津市(旧津市、旧久居市、旧河芸町、旧芸濃町、旧美里村、旧安濃町、旧香良洲町、旧一志町、旧白山町に限る。)</t>
    <rPh sb="0" eb="2">
      <t>ツシ</t>
    </rPh>
    <rPh sb="3" eb="4">
      <t>キュウ</t>
    </rPh>
    <rPh sb="4" eb="6">
      <t>ツシ</t>
    </rPh>
    <rPh sb="7" eb="8">
      <t>キュウ</t>
    </rPh>
    <rPh sb="8" eb="11">
      <t>ヒサイシ</t>
    </rPh>
    <rPh sb="12" eb="13">
      <t>キュウ</t>
    </rPh>
    <rPh sb="13" eb="16">
      <t>カワゲチョウ</t>
    </rPh>
    <rPh sb="17" eb="18">
      <t>キュウ</t>
    </rPh>
    <rPh sb="18" eb="21">
      <t>ゲイノウチョウ</t>
    </rPh>
    <rPh sb="22" eb="23">
      <t>キュウ</t>
    </rPh>
    <rPh sb="23" eb="26">
      <t>ミサトムラ</t>
    </rPh>
    <rPh sb="27" eb="28">
      <t>キュウ</t>
    </rPh>
    <rPh sb="28" eb="31">
      <t>アノウチョウ</t>
    </rPh>
    <rPh sb="32" eb="33">
      <t>キュウ</t>
    </rPh>
    <rPh sb="33" eb="37">
      <t>カラスチョウ</t>
    </rPh>
    <rPh sb="38" eb="39">
      <t>キュウ</t>
    </rPh>
    <rPh sb="39" eb="42">
      <t>イチシチョウ</t>
    </rPh>
    <rPh sb="43" eb="44">
      <t>キュウ</t>
    </rPh>
    <rPh sb="44" eb="47">
      <t>ハクサンチョウ</t>
    </rPh>
    <rPh sb="48" eb="49">
      <t>カギ</t>
    </rPh>
    <phoneticPr fontId="5"/>
  </si>
  <si>
    <t>ツシ(キュウツシ、キュウヒサイシ、キュウカワゲチョウ、キュウゲイノウチョウ、キュウミサトムラ、キュウアノウチョウ、キュウカラスチョウ、キュウイチシチョウ、キュウハクサンチョウニカギル。)</t>
  </si>
  <si>
    <t>津市(旧美杉村に限る。)</t>
    <rPh sb="0" eb="2">
      <t>ツシ</t>
    </rPh>
    <rPh sb="3" eb="4">
      <t>キュウ</t>
    </rPh>
    <rPh sb="4" eb="7">
      <t>ミスギムラ</t>
    </rPh>
    <rPh sb="8" eb="9">
      <t>カギ</t>
    </rPh>
    <phoneticPr fontId="5"/>
  </si>
  <si>
    <t>ツシ(キュウミスギムラニカギル。)</t>
  </si>
  <si>
    <t>東員町</t>
    <rPh sb="0" eb="3">
      <t>トウインチョウ</t>
    </rPh>
    <phoneticPr fontId="5"/>
  </si>
  <si>
    <t>トウインチョウ</t>
  </si>
  <si>
    <t>鳥羽市</t>
    <rPh sb="0" eb="3">
      <t>トバシ</t>
    </rPh>
    <phoneticPr fontId="5"/>
  </si>
  <si>
    <t>トバシ</t>
  </si>
  <si>
    <t>名張市</t>
    <rPh sb="0" eb="3">
      <t>ナバリシ</t>
    </rPh>
    <phoneticPr fontId="5"/>
  </si>
  <si>
    <t>ナバリシ</t>
  </si>
  <si>
    <t>松阪市</t>
    <rPh sb="0" eb="3">
      <t>マツサカシ</t>
    </rPh>
    <phoneticPr fontId="5"/>
  </si>
  <si>
    <t>マツサカシ</t>
  </si>
  <si>
    <t>南伊勢町</t>
    <rPh sb="0" eb="1">
      <t>ミナミ</t>
    </rPh>
    <rPh sb="1" eb="4">
      <t>イセマチ</t>
    </rPh>
    <phoneticPr fontId="5"/>
  </si>
  <si>
    <t>ミナミイセマチ</t>
  </si>
  <si>
    <t>御浜町</t>
    <rPh sb="0" eb="3">
      <t>ミハマチョウ</t>
    </rPh>
    <phoneticPr fontId="5"/>
  </si>
  <si>
    <t>四日市市</t>
    <rPh sb="0" eb="4">
      <t>ヨッカイチシ</t>
    </rPh>
    <phoneticPr fontId="5"/>
  </si>
  <si>
    <t>ヨッカイチシ</t>
  </si>
  <si>
    <t>度会町</t>
    <rPh sb="0" eb="2">
      <t>ワタライ</t>
    </rPh>
    <rPh sb="2" eb="3">
      <t>チョウ</t>
    </rPh>
    <phoneticPr fontId="5"/>
  </si>
  <si>
    <t>ワタライチョウ</t>
  </si>
  <si>
    <t>滋賀県</t>
  </si>
  <si>
    <t>愛荘町</t>
    <rPh sb="0" eb="3">
      <t>アイショウチョウ</t>
    </rPh>
    <phoneticPr fontId="5"/>
  </si>
  <si>
    <t>アイショウチョウ</t>
  </si>
  <si>
    <t>近江八幡市</t>
    <rPh sb="0" eb="5">
      <t>オウミハチマンシ</t>
    </rPh>
    <phoneticPr fontId="5"/>
  </si>
  <si>
    <t>オウミハチマンシ</t>
  </si>
  <si>
    <t>大津市</t>
    <rPh sb="0" eb="3">
      <t>オオツシ</t>
    </rPh>
    <phoneticPr fontId="5"/>
  </si>
  <si>
    <t>オオツシ</t>
  </si>
  <si>
    <t>草津市</t>
    <rPh sb="0" eb="3">
      <t>クサツシ</t>
    </rPh>
    <phoneticPr fontId="5"/>
  </si>
  <si>
    <t>クサツシ</t>
  </si>
  <si>
    <t>甲賀市</t>
    <rPh sb="0" eb="2">
      <t>コウガ</t>
    </rPh>
    <rPh sb="2" eb="3">
      <t>シ</t>
    </rPh>
    <phoneticPr fontId="5"/>
  </si>
  <si>
    <t>コウガシ</t>
  </si>
  <si>
    <t>甲良町</t>
    <rPh sb="0" eb="3">
      <t>コウラチョウ</t>
    </rPh>
    <phoneticPr fontId="5"/>
  </si>
  <si>
    <t>コウラチョウ</t>
  </si>
  <si>
    <t>湖南市</t>
    <rPh sb="0" eb="3">
      <t>コナンシ</t>
    </rPh>
    <phoneticPr fontId="5"/>
  </si>
  <si>
    <t>コナンシ</t>
  </si>
  <si>
    <t>高島市</t>
    <rPh sb="0" eb="3">
      <t>タカシマシ</t>
    </rPh>
    <phoneticPr fontId="5"/>
  </si>
  <si>
    <t>タカシマシ</t>
  </si>
  <si>
    <t>多賀町</t>
    <rPh sb="0" eb="3">
      <t>タガチョウ</t>
    </rPh>
    <phoneticPr fontId="5"/>
  </si>
  <si>
    <t>タガチョウ</t>
  </si>
  <si>
    <t>豊郷町</t>
    <rPh sb="0" eb="3">
      <t>トヨサトチョウ</t>
    </rPh>
    <phoneticPr fontId="5"/>
  </si>
  <si>
    <t>トヨサトチョウ</t>
  </si>
  <si>
    <t>長浜市</t>
    <rPh sb="0" eb="3">
      <t>ナガハマシ</t>
    </rPh>
    <phoneticPr fontId="5"/>
  </si>
  <si>
    <t>ナガハマシ</t>
  </si>
  <si>
    <t>東近江市</t>
    <rPh sb="0" eb="4">
      <t>ヒガシオウミシ</t>
    </rPh>
    <phoneticPr fontId="5"/>
  </si>
  <si>
    <t>ヒガシオウミシ</t>
  </si>
  <si>
    <t>彦根市</t>
    <rPh sb="0" eb="3">
      <t>ヒコネシ</t>
    </rPh>
    <phoneticPr fontId="5"/>
  </si>
  <si>
    <t>ヒコネシ</t>
  </si>
  <si>
    <t>日野町</t>
    <rPh sb="0" eb="3">
      <t>ヒノチョウ</t>
    </rPh>
    <phoneticPr fontId="5"/>
  </si>
  <si>
    <t>ヒノチョウ</t>
  </si>
  <si>
    <t>米原市</t>
    <rPh sb="0" eb="3">
      <t>マイバラシ</t>
    </rPh>
    <phoneticPr fontId="5"/>
  </si>
  <si>
    <t>マイバラシ</t>
  </si>
  <si>
    <t>守山市</t>
    <rPh sb="0" eb="3">
      <t>モリヤマシ</t>
    </rPh>
    <phoneticPr fontId="5"/>
  </si>
  <si>
    <t>モリヤマシ</t>
  </si>
  <si>
    <t>野洲市</t>
    <rPh sb="0" eb="3">
      <t>ヤスシ</t>
    </rPh>
    <phoneticPr fontId="5"/>
  </si>
  <si>
    <t>ヤスシ</t>
  </si>
  <si>
    <t>栗東市</t>
    <rPh sb="0" eb="3">
      <t>リットウシ</t>
    </rPh>
    <phoneticPr fontId="5"/>
  </si>
  <si>
    <t>リットウシ</t>
  </si>
  <si>
    <t>竜王町</t>
    <rPh sb="0" eb="3">
      <t>リュウオウチョウ</t>
    </rPh>
    <phoneticPr fontId="5"/>
  </si>
  <si>
    <t>リュウオウチョウ</t>
  </si>
  <si>
    <t>京都府</t>
  </si>
  <si>
    <t>綾部市</t>
    <rPh sb="0" eb="3">
      <t>アヤベシ</t>
    </rPh>
    <phoneticPr fontId="5"/>
  </si>
  <si>
    <t>アヤベシ</t>
  </si>
  <si>
    <t>井手町</t>
    <rPh sb="0" eb="3">
      <t>イデチョウ</t>
    </rPh>
    <phoneticPr fontId="5"/>
  </si>
  <si>
    <t>イデチョウ</t>
  </si>
  <si>
    <t>伊根町</t>
    <rPh sb="0" eb="3">
      <t>イネチョウ</t>
    </rPh>
    <phoneticPr fontId="5"/>
  </si>
  <si>
    <t>イネチョウ</t>
  </si>
  <si>
    <t>宇治市</t>
    <rPh sb="0" eb="3">
      <t>ウジシ</t>
    </rPh>
    <phoneticPr fontId="5"/>
  </si>
  <si>
    <t>ウジシ</t>
  </si>
  <si>
    <t>宇治田原町</t>
    <rPh sb="0" eb="5">
      <t>ウジタワラチョウ</t>
    </rPh>
    <phoneticPr fontId="5"/>
  </si>
  <si>
    <t>ウジタワラチョウ</t>
  </si>
  <si>
    <t>大山崎町</t>
    <rPh sb="0" eb="4">
      <t>オオヤマザキチョウ</t>
    </rPh>
    <phoneticPr fontId="5"/>
  </si>
  <si>
    <t>オオヤマザキチョウ</t>
  </si>
  <si>
    <t>笠置町</t>
    <rPh sb="0" eb="3">
      <t>カサギチョウ</t>
    </rPh>
    <phoneticPr fontId="5"/>
  </si>
  <si>
    <t>カサギチョウ</t>
  </si>
  <si>
    <t>亀岡市</t>
    <rPh sb="0" eb="3">
      <t>カメオカシ</t>
    </rPh>
    <phoneticPr fontId="5"/>
  </si>
  <si>
    <t>カメオカシ</t>
  </si>
  <si>
    <t>木津川市</t>
    <rPh sb="0" eb="4">
      <t>キヅガワシ</t>
    </rPh>
    <phoneticPr fontId="5"/>
  </si>
  <si>
    <t>キヅガワシ</t>
  </si>
  <si>
    <t>京田辺市</t>
    <rPh sb="0" eb="4">
      <t>キョウタナベシ</t>
    </rPh>
    <phoneticPr fontId="5"/>
  </si>
  <si>
    <t>キョウタナベシ</t>
  </si>
  <si>
    <t>京丹後市</t>
    <rPh sb="0" eb="4">
      <t>キョウタンゴシ</t>
    </rPh>
    <phoneticPr fontId="5"/>
  </si>
  <si>
    <t>キョウタンゴシ</t>
  </si>
  <si>
    <t>京丹波町</t>
    <rPh sb="0" eb="4">
      <t>キョウタンバチョウ</t>
    </rPh>
    <phoneticPr fontId="5"/>
  </si>
  <si>
    <t>キョウタンバチョウ</t>
  </si>
  <si>
    <t>京都市</t>
    <rPh sb="0" eb="3">
      <t>キョウトシ</t>
    </rPh>
    <phoneticPr fontId="5"/>
  </si>
  <si>
    <t>キョウトシ</t>
  </si>
  <si>
    <t>久御山町</t>
    <rPh sb="0" eb="4">
      <t>クミヤマチョウ</t>
    </rPh>
    <phoneticPr fontId="5"/>
  </si>
  <si>
    <t>クミヤマチョウ</t>
  </si>
  <si>
    <t>城陽市</t>
    <rPh sb="0" eb="3">
      <t>ジョウヨウシ</t>
    </rPh>
    <phoneticPr fontId="5"/>
  </si>
  <si>
    <t>ジョウヨウシ</t>
  </si>
  <si>
    <t>精華町</t>
    <rPh sb="0" eb="3">
      <t>セイカチョウ</t>
    </rPh>
    <phoneticPr fontId="5"/>
  </si>
  <si>
    <t>セイカチョウ</t>
  </si>
  <si>
    <t>長岡京市</t>
    <rPh sb="0" eb="4">
      <t>ナガオカキョウシ</t>
    </rPh>
    <phoneticPr fontId="5"/>
  </si>
  <si>
    <t>ナガオカキョウシ</t>
  </si>
  <si>
    <t>南丹市</t>
    <rPh sb="0" eb="3">
      <t>ナンタンシ</t>
    </rPh>
    <phoneticPr fontId="5"/>
  </si>
  <si>
    <t>ナンタンシ</t>
  </si>
  <si>
    <t>福知山市</t>
    <rPh sb="0" eb="4">
      <t>フクチヤマシ</t>
    </rPh>
    <phoneticPr fontId="5"/>
  </si>
  <si>
    <t>フクチヤマシ</t>
  </si>
  <si>
    <t>舞鶴市</t>
    <rPh sb="0" eb="3">
      <t>マイヅルシ</t>
    </rPh>
    <phoneticPr fontId="5"/>
  </si>
  <si>
    <t>マイヅルシ</t>
  </si>
  <si>
    <t>南山城村</t>
    <rPh sb="0" eb="4">
      <t>ミナミヤマシロムラ</t>
    </rPh>
    <phoneticPr fontId="5"/>
  </si>
  <si>
    <t>ミナミヤマシロムラ</t>
  </si>
  <si>
    <t>宮津市</t>
    <rPh sb="0" eb="3">
      <t>ミヤヅシ</t>
    </rPh>
    <phoneticPr fontId="5"/>
  </si>
  <si>
    <t>ミヤヅシ</t>
  </si>
  <si>
    <t>向日市</t>
    <rPh sb="0" eb="3">
      <t>ムコウシ</t>
    </rPh>
    <phoneticPr fontId="5"/>
  </si>
  <si>
    <t>ムコウシ</t>
  </si>
  <si>
    <t>八幡市</t>
    <rPh sb="0" eb="3">
      <t>ヤワタシ</t>
    </rPh>
    <phoneticPr fontId="5"/>
  </si>
  <si>
    <t>ヤワタシ</t>
  </si>
  <si>
    <t>与謝野町</t>
    <rPh sb="0" eb="4">
      <t>ヨサノチョウ</t>
    </rPh>
    <phoneticPr fontId="5"/>
  </si>
  <si>
    <t>ヨサノチョウ</t>
  </si>
  <si>
    <t>和束町</t>
    <rPh sb="0" eb="3">
      <t>ワヅカチョウ</t>
    </rPh>
    <phoneticPr fontId="5"/>
  </si>
  <si>
    <t>ワヅカチョウ</t>
  </si>
  <si>
    <t>大阪府</t>
  </si>
  <si>
    <t>池田市</t>
    <rPh sb="0" eb="3">
      <t>イケダシ</t>
    </rPh>
    <phoneticPr fontId="5"/>
  </si>
  <si>
    <t>イケダシ</t>
  </si>
  <si>
    <t>泉大津市</t>
    <rPh sb="0" eb="4">
      <t>イズミオオツシ</t>
    </rPh>
    <phoneticPr fontId="5"/>
  </si>
  <si>
    <t>イズミオオツシ</t>
  </si>
  <si>
    <t>泉佐野市</t>
    <rPh sb="0" eb="4">
      <t>イズミサノシ</t>
    </rPh>
    <phoneticPr fontId="5"/>
  </si>
  <si>
    <t>イズミサノシ</t>
  </si>
  <si>
    <t>和泉市</t>
    <rPh sb="0" eb="3">
      <t>イズミシ</t>
    </rPh>
    <phoneticPr fontId="5"/>
  </si>
  <si>
    <t>イズミシ</t>
  </si>
  <si>
    <t>茨木市</t>
    <rPh sb="0" eb="3">
      <t>イバラキシ</t>
    </rPh>
    <phoneticPr fontId="5"/>
  </si>
  <si>
    <t>イバラキシ</t>
  </si>
  <si>
    <t>大阪狭山市</t>
    <rPh sb="0" eb="5">
      <t>オオサカサヤマシ</t>
    </rPh>
    <phoneticPr fontId="5"/>
  </si>
  <si>
    <t>オオサカサヤマシ</t>
  </si>
  <si>
    <t>大阪市</t>
    <rPh sb="0" eb="3">
      <t>オオサカシ</t>
    </rPh>
    <phoneticPr fontId="5"/>
  </si>
  <si>
    <t>オオサカシ</t>
  </si>
  <si>
    <t>貝塚市</t>
    <rPh sb="0" eb="3">
      <t>カイヅカシ</t>
    </rPh>
    <phoneticPr fontId="5"/>
  </si>
  <si>
    <t>カイヅカシ</t>
  </si>
  <si>
    <t>柏原市</t>
    <rPh sb="0" eb="3">
      <t>カシワラシ</t>
    </rPh>
    <phoneticPr fontId="5"/>
  </si>
  <si>
    <t>カシワラシ</t>
  </si>
  <si>
    <t>交野市</t>
    <rPh sb="0" eb="3">
      <t>カタノシ</t>
    </rPh>
    <phoneticPr fontId="5"/>
  </si>
  <si>
    <t>カタノシ</t>
  </si>
  <si>
    <t>門真市</t>
    <rPh sb="0" eb="3">
      <t>カドマシ</t>
    </rPh>
    <phoneticPr fontId="5"/>
  </si>
  <si>
    <t>カドマシ</t>
  </si>
  <si>
    <t>河南町</t>
    <rPh sb="0" eb="3">
      <t>カナンチョウ</t>
    </rPh>
    <phoneticPr fontId="5"/>
  </si>
  <si>
    <t>カナンチョウ</t>
  </si>
  <si>
    <t>河内長野市</t>
    <rPh sb="0" eb="5">
      <t>カワチナガノシ</t>
    </rPh>
    <phoneticPr fontId="5"/>
  </si>
  <si>
    <t>カワチナガノシ</t>
  </si>
  <si>
    <t>岸和田市</t>
    <rPh sb="0" eb="4">
      <t>キシワダシ</t>
    </rPh>
    <phoneticPr fontId="5"/>
  </si>
  <si>
    <t>キシワダシ</t>
  </si>
  <si>
    <t>熊取町</t>
    <rPh sb="0" eb="3">
      <t>クマトリチョウ</t>
    </rPh>
    <phoneticPr fontId="5"/>
  </si>
  <si>
    <t>クマトリチョウ</t>
  </si>
  <si>
    <t>堺市</t>
    <rPh sb="0" eb="2">
      <t>サカイシ</t>
    </rPh>
    <phoneticPr fontId="5"/>
  </si>
  <si>
    <t>四條畷市</t>
    <rPh sb="0" eb="4">
      <t>シジョウナワテシ</t>
    </rPh>
    <phoneticPr fontId="5"/>
  </si>
  <si>
    <t>シジョウナワテシ</t>
  </si>
  <si>
    <t>島本町</t>
    <rPh sb="0" eb="3">
      <t>シマモトチョウ</t>
    </rPh>
    <phoneticPr fontId="5"/>
  </si>
  <si>
    <t>シマモトチョウ</t>
  </si>
  <si>
    <t>吹田市</t>
    <rPh sb="0" eb="3">
      <t>スイタシ</t>
    </rPh>
    <phoneticPr fontId="5"/>
  </si>
  <si>
    <t>スイタシ</t>
  </si>
  <si>
    <t>摂津市</t>
    <rPh sb="0" eb="3">
      <t>セッツシ</t>
    </rPh>
    <phoneticPr fontId="5"/>
  </si>
  <si>
    <t>セッツシ</t>
  </si>
  <si>
    <t>泉南市</t>
    <rPh sb="0" eb="3">
      <t>センナンシ</t>
    </rPh>
    <phoneticPr fontId="5"/>
  </si>
  <si>
    <t>センナンシ</t>
  </si>
  <si>
    <t>太子町</t>
    <rPh sb="0" eb="3">
      <t>タイシチョウ</t>
    </rPh>
    <phoneticPr fontId="5"/>
  </si>
  <si>
    <t>タイシチョウ</t>
  </si>
  <si>
    <t>大東市</t>
    <rPh sb="0" eb="3">
      <t>ダイトウシ</t>
    </rPh>
    <phoneticPr fontId="5"/>
  </si>
  <si>
    <t>ダイトウシ</t>
  </si>
  <si>
    <t>高石市</t>
    <rPh sb="0" eb="3">
      <t>タカイシシ</t>
    </rPh>
    <phoneticPr fontId="5"/>
  </si>
  <si>
    <t>タカイシシ</t>
  </si>
  <si>
    <t>高槻市</t>
    <rPh sb="0" eb="3">
      <t>タカツキシ</t>
    </rPh>
    <phoneticPr fontId="5"/>
  </si>
  <si>
    <t>タカツキシ</t>
  </si>
  <si>
    <t>田尻町</t>
    <rPh sb="0" eb="3">
      <t>タジリチョウ</t>
    </rPh>
    <phoneticPr fontId="5"/>
  </si>
  <si>
    <t>タジリチョウ</t>
  </si>
  <si>
    <t>忠岡町</t>
    <rPh sb="0" eb="3">
      <t>タダオカチョウ</t>
    </rPh>
    <phoneticPr fontId="5"/>
  </si>
  <si>
    <t>タダオカチョウ</t>
  </si>
  <si>
    <t>千早赤阪村</t>
    <rPh sb="0" eb="5">
      <t>チハヤアカサカムラ</t>
    </rPh>
    <phoneticPr fontId="5"/>
  </si>
  <si>
    <t>チハヤアカサカムラ</t>
  </si>
  <si>
    <t>豊中市</t>
    <rPh sb="0" eb="3">
      <t>トヨナカシ</t>
    </rPh>
    <phoneticPr fontId="5"/>
  </si>
  <si>
    <t>トヨナカシ</t>
  </si>
  <si>
    <t>豊能町</t>
    <rPh sb="0" eb="3">
      <t>トヨノチョウ</t>
    </rPh>
    <phoneticPr fontId="5"/>
  </si>
  <si>
    <t>トヨノチョウ</t>
  </si>
  <si>
    <t>富田林市</t>
    <rPh sb="0" eb="4">
      <t>トンダバヤシシ</t>
    </rPh>
    <phoneticPr fontId="5"/>
  </si>
  <si>
    <t>トンダバヤシシ</t>
  </si>
  <si>
    <t>寝屋川市</t>
    <rPh sb="0" eb="4">
      <t>ネヤガワシ</t>
    </rPh>
    <phoneticPr fontId="5"/>
  </si>
  <si>
    <t>ネヤガワシ</t>
  </si>
  <si>
    <t>能勢町</t>
    <rPh sb="0" eb="3">
      <t>ノセチョウ</t>
    </rPh>
    <phoneticPr fontId="5"/>
  </si>
  <si>
    <t>ノセチョウ</t>
  </si>
  <si>
    <t>羽曳野市</t>
    <rPh sb="0" eb="4">
      <t>ハビキノシ</t>
    </rPh>
    <phoneticPr fontId="5"/>
  </si>
  <si>
    <t>ハビキノシ</t>
  </si>
  <si>
    <t>阪南市</t>
    <rPh sb="0" eb="3">
      <t>ハンナンシ</t>
    </rPh>
    <phoneticPr fontId="5"/>
  </si>
  <si>
    <t>ハンナンシ</t>
  </si>
  <si>
    <t>東大阪市</t>
    <rPh sb="0" eb="4">
      <t>ヒガシオオサカシ</t>
    </rPh>
    <phoneticPr fontId="5"/>
  </si>
  <si>
    <t>ヒガシオオサカシ</t>
  </si>
  <si>
    <t>枚方市</t>
    <rPh sb="0" eb="3">
      <t>ヒラカタシ</t>
    </rPh>
    <phoneticPr fontId="5"/>
  </si>
  <si>
    <t>ヒラカタシ</t>
  </si>
  <si>
    <t>藤井寺市</t>
    <rPh sb="0" eb="4">
      <t>フジイデラシ</t>
    </rPh>
    <phoneticPr fontId="5"/>
  </si>
  <si>
    <t>フジイデラシ</t>
  </si>
  <si>
    <t>松原市</t>
    <rPh sb="0" eb="3">
      <t>マツバラシ</t>
    </rPh>
    <phoneticPr fontId="5"/>
  </si>
  <si>
    <t>マツバラシ</t>
  </si>
  <si>
    <t>岬町</t>
    <rPh sb="0" eb="2">
      <t>ミサキチョウ</t>
    </rPh>
    <phoneticPr fontId="5"/>
  </si>
  <si>
    <t>ミサキチョウ</t>
  </si>
  <si>
    <t>箕面市</t>
    <rPh sb="0" eb="3">
      <t>ミノオシ</t>
    </rPh>
    <phoneticPr fontId="5"/>
  </si>
  <si>
    <t>ミノオシ</t>
  </si>
  <si>
    <t>守口市</t>
    <rPh sb="0" eb="3">
      <t>モリグチシ</t>
    </rPh>
    <phoneticPr fontId="5"/>
  </si>
  <si>
    <t>モリグチシ</t>
  </si>
  <si>
    <t>八尾市</t>
    <rPh sb="0" eb="3">
      <t>ヤオシ</t>
    </rPh>
    <phoneticPr fontId="5"/>
  </si>
  <si>
    <t>ヤオシ</t>
  </si>
  <si>
    <t>兵庫県</t>
  </si>
  <si>
    <t>相生市</t>
    <rPh sb="0" eb="3">
      <t>アイオイシ</t>
    </rPh>
    <phoneticPr fontId="5"/>
  </si>
  <si>
    <t>アイオイシ</t>
  </si>
  <si>
    <t>明石市</t>
    <rPh sb="0" eb="3">
      <t>アカシシ</t>
    </rPh>
    <phoneticPr fontId="5"/>
  </si>
  <si>
    <t>アカシシ</t>
  </si>
  <si>
    <t>赤穂市</t>
    <rPh sb="0" eb="3">
      <t>アコウシ</t>
    </rPh>
    <phoneticPr fontId="5"/>
  </si>
  <si>
    <t>アコウシ</t>
  </si>
  <si>
    <t>朝来市</t>
    <rPh sb="0" eb="3">
      <t>アサゴシ</t>
    </rPh>
    <phoneticPr fontId="5"/>
  </si>
  <si>
    <t>アサゴシ</t>
  </si>
  <si>
    <t>芦屋市</t>
    <rPh sb="0" eb="3">
      <t>アシヤシ</t>
    </rPh>
    <phoneticPr fontId="5"/>
  </si>
  <si>
    <t>アシヤシ</t>
  </si>
  <si>
    <t>尼崎市</t>
    <rPh sb="0" eb="3">
      <t>アマガサキシ</t>
    </rPh>
    <phoneticPr fontId="5"/>
  </si>
  <si>
    <t>アマガサキシ</t>
  </si>
  <si>
    <t>淡路市</t>
    <rPh sb="0" eb="3">
      <t>アワジシ</t>
    </rPh>
    <phoneticPr fontId="5"/>
  </si>
  <si>
    <t>アワジシ</t>
  </si>
  <si>
    <t>伊丹市</t>
    <rPh sb="0" eb="3">
      <t>イタミシ</t>
    </rPh>
    <phoneticPr fontId="5"/>
  </si>
  <si>
    <t>イタミシ</t>
  </si>
  <si>
    <t>市川町</t>
    <rPh sb="0" eb="3">
      <t>イチカワチョウ</t>
    </rPh>
    <phoneticPr fontId="5"/>
  </si>
  <si>
    <t>イチカワチョウ</t>
  </si>
  <si>
    <t>猪名川町</t>
    <rPh sb="0" eb="4">
      <t>イナガワチョウ</t>
    </rPh>
    <phoneticPr fontId="5"/>
  </si>
  <si>
    <t>イナガワチョウ</t>
  </si>
  <si>
    <t>稲美町</t>
    <rPh sb="0" eb="3">
      <t>イナミチョウ</t>
    </rPh>
    <phoneticPr fontId="5"/>
  </si>
  <si>
    <t>イナミチョウ</t>
  </si>
  <si>
    <t>小野市</t>
    <rPh sb="0" eb="3">
      <t>オノシ</t>
    </rPh>
    <phoneticPr fontId="5"/>
  </si>
  <si>
    <t>オノシ</t>
  </si>
  <si>
    <t>加古川市</t>
    <rPh sb="0" eb="4">
      <t>カコガワシ</t>
    </rPh>
    <phoneticPr fontId="5"/>
  </si>
  <si>
    <t>カコガワシ</t>
  </si>
  <si>
    <t>加西市</t>
    <rPh sb="0" eb="3">
      <t>カサイシ</t>
    </rPh>
    <phoneticPr fontId="5"/>
  </si>
  <si>
    <t>カサイシ</t>
  </si>
  <si>
    <t>加東市</t>
    <rPh sb="0" eb="3">
      <t>カトウシ</t>
    </rPh>
    <phoneticPr fontId="5"/>
  </si>
  <si>
    <t>カトウシ</t>
  </si>
  <si>
    <t>神河町</t>
    <rPh sb="0" eb="3">
      <t>カミカワチョウ</t>
    </rPh>
    <phoneticPr fontId="5"/>
  </si>
  <si>
    <t>上郡町</t>
    <rPh sb="0" eb="3">
      <t>カミゴオリチョウ</t>
    </rPh>
    <phoneticPr fontId="5"/>
  </si>
  <si>
    <t>カミゴオリチョウ</t>
  </si>
  <si>
    <t>香美町（旧村岡町、旧美方町に限る。）</t>
    <rPh sb="0" eb="3">
      <t>カミチョウ</t>
    </rPh>
    <rPh sb="4" eb="5">
      <t>キュウ</t>
    </rPh>
    <rPh sb="5" eb="8">
      <t>ムラオカチョウ</t>
    </rPh>
    <rPh sb="9" eb="10">
      <t>キュウ</t>
    </rPh>
    <rPh sb="10" eb="13">
      <t>ミカタチョウ</t>
    </rPh>
    <rPh sb="14" eb="15">
      <t>カギ</t>
    </rPh>
    <phoneticPr fontId="5"/>
  </si>
  <si>
    <t>カミチョウ（キュウムラオカチョウ、キュウミカタチョウニカギル。）</t>
  </si>
  <si>
    <t>香美町（旧村岡町、旧美方町を除く。）</t>
    <rPh sb="0" eb="3">
      <t>カミチョウ</t>
    </rPh>
    <rPh sb="4" eb="5">
      <t>キュウ</t>
    </rPh>
    <rPh sb="5" eb="8">
      <t>ムラオカチョウ</t>
    </rPh>
    <rPh sb="9" eb="10">
      <t>キュウ</t>
    </rPh>
    <rPh sb="10" eb="13">
      <t>ミカタチョウ</t>
    </rPh>
    <rPh sb="14" eb="15">
      <t>ノゾ</t>
    </rPh>
    <phoneticPr fontId="5"/>
  </si>
  <si>
    <t>カミチョウ（キュウムラオカチョウ、キュウミカタチョウヲノゾク。）</t>
  </si>
  <si>
    <t>川西市</t>
    <rPh sb="0" eb="3">
      <t>カワニシシ</t>
    </rPh>
    <phoneticPr fontId="5"/>
  </si>
  <si>
    <t>カワニシシ</t>
  </si>
  <si>
    <t>神戸市</t>
    <rPh sb="0" eb="3">
      <t>コウベシ</t>
    </rPh>
    <phoneticPr fontId="5"/>
  </si>
  <si>
    <t>コウベシ</t>
  </si>
  <si>
    <t>佐用町</t>
    <rPh sb="0" eb="3">
      <t>サヨウチョウ</t>
    </rPh>
    <phoneticPr fontId="5"/>
  </si>
  <si>
    <t>サヨウチョウ</t>
  </si>
  <si>
    <t>三田市</t>
    <rPh sb="0" eb="3">
      <t>サンダシ</t>
    </rPh>
    <phoneticPr fontId="5"/>
  </si>
  <si>
    <t>サンダシ</t>
  </si>
  <si>
    <t>宍粟市</t>
    <rPh sb="0" eb="3">
      <t>シソウシ</t>
    </rPh>
    <phoneticPr fontId="5"/>
  </si>
  <si>
    <t>シソウシ</t>
  </si>
  <si>
    <t>新温泉町（旧温泉町に限る。）</t>
    <rPh sb="0" eb="1">
      <t>シン</t>
    </rPh>
    <rPh sb="1" eb="4">
      <t>オンセンチョウ</t>
    </rPh>
    <rPh sb="5" eb="6">
      <t>キュウ</t>
    </rPh>
    <rPh sb="6" eb="9">
      <t>オンセンチョウ</t>
    </rPh>
    <rPh sb="10" eb="11">
      <t>カギ</t>
    </rPh>
    <phoneticPr fontId="5"/>
  </si>
  <si>
    <t>シンオンセンチョウ（キュウオンセンチョウニカギル。）</t>
  </si>
  <si>
    <t>新温泉町（旧浜坂町に限る。）</t>
    <rPh sb="0" eb="1">
      <t>シン</t>
    </rPh>
    <rPh sb="1" eb="4">
      <t>オンセンチョウ</t>
    </rPh>
    <rPh sb="5" eb="6">
      <t>キュウ</t>
    </rPh>
    <rPh sb="6" eb="9">
      <t>ハマサカチョウ</t>
    </rPh>
    <rPh sb="10" eb="11">
      <t>カギ</t>
    </rPh>
    <phoneticPr fontId="5"/>
  </si>
  <si>
    <t>シンオンセンチョウ（キュウハマサカチョウニカギル。）</t>
  </si>
  <si>
    <t>洲本市</t>
    <rPh sb="0" eb="3">
      <t>スモトシ</t>
    </rPh>
    <phoneticPr fontId="5"/>
  </si>
  <si>
    <t>スモトシ</t>
  </si>
  <si>
    <t>高砂市</t>
    <rPh sb="0" eb="3">
      <t>タカサゴシ</t>
    </rPh>
    <phoneticPr fontId="5"/>
  </si>
  <si>
    <t>タカサゴシ</t>
  </si>
  <si>
    <t>多可町</t>
    <rPh sb="0" eb="2">
      <t>タカ</t>
    </rPh>
    <rPh sb="2" eb="3">
      <t>マチ</t>
    </rPh>
    <phoneticPr fontId="5"/>
  </si>
  <si>
    <t>タカマチ</t>
  </si>
  <si>
    <t>宝塚市</t>
    <rPh sb="0" eb="3">
      <t>タカラヅカシ</t>
    </rPh>
    <phoneticPr fontId="5"/>
  </si>
  <si>
    <t>タカラヅカシ</t>
  </si>
  <si>
    <t>たつの市</t>
    <rPh sb="3" eb="4">
      <t>シ</t>
    </rPh>
    <phoneticPr fontId="5"/>
  </si>
  <si>
    <t>タツノシ</t>
  </si>
  <si>
    <t>丹波篠山市</t>
    <rPh sb="0" eb="2">
      <t>タンバ</t>
    </rPh>
    <rPh sb="2" eb="5">
      <t>ササヤマシ</t>
    </rPh>
    <phoneticPr fontId="5"/>
  </si>
  <si>
    <t>タンバササヤマシ</t>
  </si>
  <si>
    <t>丹波市</t>
    <rPh sb="0" eb="3">
      <t>タンバシ</t>
    </rPh>
    <phoneticPr fontId="5"/>
  </si>
  <si>
    <t>タンバシ</t>
  </si>
  <si>
    <t>豊岡市</t>
    <rPh sb="0" eb="3">
      <t>トヨオカシ</t>
    </rPh>
    <phoneticPr fontId="5"/>
  </si>
  <si>
    <t>トヨオカシ</t>
  </si>
  <si>
    <t>西宮市</t>
    <rPh sb="0" eb="3">
      <t>ニシノミヤシ</t>
    </rPh>
    <phoneticPr fontId="5"/>
  </si>
  <si>
    <t>ニシノミヤシ</t>
  </si>
  <si>
    <t>西脇市</t>
    <rPh sb="0" eb="3">
      <t>ニシワキシ</t>
    </rPh>
    <phoneticPr fontId="5"/>
  </si>
  <si>
    <t>ニシワキシ</t>
  </si>
  <si>
    <t>播磨町</t>
    <rPh sb="0" eb="3">
      <t>ハリマチョウ</t>
    </rPh>
    <phoneticPr fontId="5"/>
  </si>
  <si>
    <t>ハリマチョウ</t>
  </si>
  <si>
    <t>姫路市</t>
    <rPh sb="0" eb="3">
      <t>ヒメジシ</t>
    </rPh>
    <phoneticPr fontId="5"/>
  </si>
  <si>
    <t>ヒメジシ</t>
  </si>
  <si>
    <t>福崎町</t>
    <rPh sb="0" eb="3">
      <t>フクザキチョウ</t>
    </rPh>
    <phoneticPr fontId="5"/>
  </si>
  <si>
    <t>フクザキチョウ</t>
  </si>
  <si>
    <t>三木市</t>
    <rPh sb="0" eb="3">
      <t>ミキシ</t>
    </rPh>
    <phoneticPr fontId="5"/>
  </si>
  <si>
    <t>ミキシ</t>
  </si>
  <si>
    <t>南あわじ市</t>
    <rPh sb="0" eb="1">
      <t>ミナミ</t>
    </rPh>
    <rPh sb="4" eb="5">
      <t>シ</t>
    </rPh>
    <phoneticPr fontId="5"/>
  </si>
  <si>
    <t>ミナミアワジシ</t>
  </si>
  <si>
    <t>養父市</t>
    <rPh sb="0" eb="3">
      <t>ヤブシ</t>
    </rPh>
    <phoneticPr fontId="5"/>
  </si>
  <si>
    <t>ヤブシ</t>
  </si>
  <si>
    <t>奈良県</t>
  </si>
  <si>
    <t>明日香村</t>
    <rPh sb="0" eb="4">
      <t>アスカムラ</t>
    </rPh>
    <phoneticPr fontId="5"/>
  </si>
  <si>
    <t>アスカムラ</t>
  </si>
  <si>
    <t>安堵町</t>
    <rPh sb="0" eb="3">
      <t>アンドチョウ</t>
    </rPh>
    <phoneticPr fontId="5"/>
  </si>
  <si>
    <t>アンドチョウ</t>
  </si>
  <si>
    <t>斑鳩町</t>
    <rPh sb="0" eb="3">
      <t>イカルガチョウ</t>
    </rPh>
    <phoneticPr fontId="5"/>
  </si>
  <si>
    <t>イカルガチョウ</t>
  </si>
  <si>
    <t>生駒市</t>
    <rPh sb="0" eb="3">
      <t>イコマシ</t>
    </rPh>
    <phoneticPr fontId="5"/>
  </si>
  <si>
    <t>イコマシ</t>
  </si>
  <si>
    <t>宇陀市</t>
    <rPh sb="0" eb="3">
      <t>ウダシ</t>
    </rPh>
    <phoneticPr fontId="5"/>
  </si>
  <si>
    <t>ウダシ</t>
  </si>
  <si>
    <t>王寺町</t>
    <rPh sb="0" eb="3">
      <t>オウジチョウ</t>
    </rPh>
    <phoneticPr fontId="5"/>
  </si>
  <si>
    <t>オウジチョウ</t>
  </si>
  <si>
    <t>大淀町</t>
    <rPh sb="0" eb="3">
      <t>オオヨドチョウ</t>
    </rPh>
    <phoneticPr fontId="5"/>
  </si>
  <si>
    <t>オオヨドチョウ</t>
  </si>
  <si>
    <t>香芝市</t>
    <rPh sb="0" eb="3">
      <t>カシバシ</t>
    </rPh>
    <phoneticPr fontId="5"/>
  </si>
  <si>
    <t>カシバシ</t>
  </si>
  <si>
    <t>橿原市</t>
    <rPh sb="0" eb="3">
      <t>カシハラシ</t>
    </rPh>
    <phoneticPr fontId="5"/>
  </si>
  <si>
    <t>カシハラシ</t>
  </si>
  <si>
    <t>葛城市</t>
    <rPh sb="0" eb="3">
      <t>カツラギシ</t>
    </rPh>
    <phoneticPr fontId="5"/>
  </si>
  <si>
    <t>カツラギシ</t>
  </si>
  <si>
    <t>上北山村</t>
    <rPh sb="0" eb="4">
      <t>カミキタヤマムラ</t>
    </rPh>
    <phoneticPr fontId="5"/>
  </si>
  <si>
    <t>カミキタヤマムラ</t>
  </si>
  <si>
    <t>河合町</t>
    <rPh sb="0" eb="3">
      <t>カワイチョウ</t>
    </rPh>
    <phoneticPr fontId="5"/>
  </si>
  <si>
    <t>カワイチョウ</t>
  </si>
  <si>
    <t>川上村</t>
    <rPh sb="0" eb="3">
      <t>カワウエムラ</t>
    </rPh>
    <phoneticPr fontId="5"/>
  </si>
  <si>
    <t>上牧町</t>
    <rPh sb="0" eb="3">
      <t>カンマキチョウ</t>
    </rPh>
    <phoneticPr fontId="5"/>
  </si>
  <si>
    <t>カンマキチョウ</t>
  </si>
  <si>
    <t>黒滝村</t>
    <rPh sb="0" eb="3">
      <t>クロタキムラ</t>
    </rPh>
    <phoneticPr fontId="5"/>
  </si>
  <si>
    <t>クロタキムラ</t>
  </si>
  <si>
    <t>広陵町</t>
    <rPh sb="0" eb="3">
      <t>コウリョウチョウ</t>
    </rPh>
    <phoneticPr fontId="5"/>
  </si>
  <si>
    <t>コウリョウチョウ</t>
  </si>
  <si>
    <t>五條市(旧大塔村に限る。)</t>
    <rPh sb="0" eb="3">
      <t>ゴジョウシ</t>
    </rPh>
    <rPh sb="4" eb="5">
      <t>キュウ</t>
    </rPh>
    <rPh sb="5" eb="8">
      <t>オオトウムラ</t>
    </rPh>
    <rPh sb="9" eb="10">
      <t>カギ</t>
    </rPh>
    <phoneticPr fontId="5"/>
  </si>
  <si>
    <t>ゴジョウシ(キュウオオトウムラニカギル。)</t>
  </si>
  <si>
    <t>五條市（旧大塔村を除く。）</t>
    <rPh sb="0" eb="3">
      <t>ゴジョウシ</t>
    </rPh>
    <rPh sb="4" eb="5">
      <t>キュウ</t>
    </rPh>
    <rPh sb="5" eb="8">
      <t>オオトウムラ</t>
    </rPh>
    <rPh sb="9" eb="10">
      <t>ノゾ</t>
    </rPh>
    <phoneticPr fontId="5"/>
  </si>
  <si>
    <t>ゴジョウシ（キュウオオトウムラヲノゾク。）</t>
  </si>
  <si>
    <t>御所市</t>
    <rPh sb="0" eb="3">
      <t>ゴセシ</t>
    </rPh>
    <phoneticPr fontId="5"/>
  </si>
  <si>
    <t>ゴセシ</t>
  </si>
  <si>
    <t>桜井市</t>
    <rPh sb="0" eb="3">
      <t>サクライシ</t>
    </rPh>
    <phoneticPr fontId="5"/>
  </si>
  <si>
    <t>サクライシ</t>
  </si>
  <si>
    <t>三郷町</t>
    <rPh sb="0" eb="3">
      <t>サンゴウチョウ</t>
    </rPh>
    <phoneticPr fontId="5"/>
  </si>
  <si>
    <t>サンゴウチョウ</t>
  </si>
  <si>
    <t>下市町</t>
    <rPh sb="0" eb="3">
      <t>シモイチチョウ</t>
    </rPh>
    <phoneticPr fontId="5"/>
  </si>
  <si>
    <t>シモイチチョウ</t>
  </si>
  <si>
    <t>下北山村</t>
    <rPh sb="0" eb="4">
      <t>シモキタヤマムラ</t>
    </rPh>
    <phoneticPr fontId="5"/>
  </si>
  <si>
    <t>シモキタヤマムラ</t>
  </si>
  <si>
    <t>曽爾村</t>
    <rPh sb="0" eb="3">
      <t>ソニムラ</t>
    </rPh>
    <phoneticPr fontId="5"/>
  </si>
  <si>
    <t>ソニムラ</t>
  </si>
  <si>
    <t>高取町</t>
    <rPh sb="0" eb="3">
      <t>タカトリチョウ</t>
    </rPh>
    <phoneticPr fontId="5"/>
  </si>
  <si>
    <t>タカトリチョウ</t>
  </si>
  <si>
    <t>田原本町</t>
    <rPh sb="0" eb="4">
      <t>タワラモトチョウ</t>
    </rPh>
    <phoneticPr fontId="5"/>
  </si>
  <si>
    <t>タワラモトチョウ</t>
  </si>
  <si>
    <t>天川村</t>
    <rPh sb="0" eb="1">
      <t>テン</t>
    </rPh>
    <rPh sb="1" eb="3">
      <t>カワムラ</t>
    </rPh>
    <phoneticPr fontId="5"/>
  </si>
  <si>
    <t>テンカワムラ</t>
  </si>
  <si>
    <t>天理市</t>
    <rPh sb="0" eb="3">
      <t>テンリシ</t>
    </rPh>
    <phoneticPr fontId="5"/>
  </si>
  <si>
    <t>テンリシ</t>
  </si>
  <si>
    <t>十津川村</t>
    <rPh sb="0" eb="4">
      <t>トツカワムラ</t>
    </rPh>
    <phoneticPr fontId="5"/>
  </si>
  <si>
    <t>トツカワムラ</t>
  </si>
  <si>
    <t>奈良市(旧都祁村に限る。)</t>
    <rPh sb="0" eb="3">
      <t>ナラシ</t>
    </rPh>
    <rPh sb="4" eb="5">
      <t>キュウ</t>
    </rPh>
    <rPh sb="5" eb="8">
      <t>ツゲムラ</t>
    </rPh>
    <rPh sb="9" eb="10">
      <t>カギ</t>
    </rPh>
    <phoneticPr fontId="5"/>
  </si>
  <si>
    <t>ナラシ(キュウツゲムラニカギル。)</t>
  </si>
  <si>
    <t>奈良市（旧都祁村を除く。）</t>
    <rPh sb="0" eb="3">
      <t>ナラシ</t>
    </rPh>
    <rPh sb="4" eb="5">
      <t>キュウ</t>
    </rPh>
    <rPh sb="5" eb="8">
      <t>ツゲムラ</t>
    </rPh>
    <rPh sb="9" eb="10">
      <t>ノゾ</t>
    </rPh>
    <phoneticPr fontId="5"/>
  </si>
  <si>
    <t>ナラシ（キュウツゲムラヲノゾク。）</t>
  </si>
  <si>
    <t>野迫川村</t>
    <rPh sb="0" eb="4">
      <t>ノセガワムラ</t>
    </rPh>
    <phoneticPr fontId="5"/>
  </si>
  <si>
    <t>ノセガワムラ</t>
  </si>
  <si>
    <t>東吉野村</t>
    <rPh sb="0" eb="4">
      <t>ヒガシヨシノムラ</t>
    </rPh>
    <phoneticPr fontId="5"/>
  </si>
  <si>
    <t>ヒガシヨシノムラ</t>
  </si>
  <si>
    <t>平群町</t>
    <rPh sb="0" eb="3">
      <t>ヘグリチョウ</t>
    </rPh>
    <phoneticPr fontId="5"/>
  </si>
  <si>
    <t>ヘグリチョウ</t>
  </si>
  <si>
    <t>御杖村</t>
    <rPh sb="0" eb="3">
      <t>ミツエムラ</t>
    </rPh>
    <phoneticPr fontId="5"/>
  </si>
  <si>
    <t>ミツエムラ</t>
  </si>
  <si>
    <t>三宅町</t>
    <rPh sb="0" eb="3">
      <t>ミヤケチョウ</t>
    </rPh>
    <phoneticPr fontId="5"/>
  </si>
  <si>
    <t>ミヤケチョウ</t>
  </si>
  <si>
    <t>山添村</t>
    <rPh sb="0" eb="2">
      <t>ヤマゾエ</t>
    </rPh>
    <rPh sb="2" eb="3">
      <t>ムラ</t>
    </rPh>
    <phoneticPr fontId="5"/>
  </si>
  <si>
    <t>ヤマゾエムラ</t>
  </si>
  <si>
    <t>大和郡山市</t>
    <rPh sb="0" eb="5">
      <t>ヤマトコオリヤマシ</t>
    </rPh>
    <phoneticPr fontId="5"/>
  </si>
  <si>
    <t>ヤマトコオリヤマシ</t>
  </si>
  <si>
    <t>大和高田市</t>
    <rPh sb="0" eb="5">
      <t>ヤマトタカダシ</t>
    </rPh>
    <phoneticPr fontId="5"/>
  </si>
  <si>
    <t>ヤマトタカダシ</t>
  </si>
  <si>
    <t>吉野町</t>
    <rPh sb="0" eb="2">
      <t>ヨシノ</t>
    </rPh>
    <rPh sb="2" eb="3">
      <t>チョウ</t>
    </rPh>
    <phoneticPr fontId="5"/>
  </si>
  <si>
    <t>ヨシノチョウ</t>
  </si>
  <si>
    <t>和歌山県</t>
  </si>
  <si>
    <t>有田川町</t>
    <rPh sb="0" eb="4">
      <t>アリダガワチョウ</t>
    </rPh>
    <phoneticPr fontId="5"/>
  </si>
  <si>
    <t>アリダガワチョウ</t>
  </si>
  <si>
    <t>有田市</t>
    <rPh sb="0" eb="3">
      <t>アリダシ</t>
    </rPh>
    <phoneticPr fontId="5"/>
  </si>
  <si>
    <t>アリダシ</t>
  </si>
  <si>
    <t>印南町</t>
    <rPh sb="0" eb="3">
      <t>イナミチョウ</t>
    </rPh>
    <phoneticPr fontId="5"/>
  </si>
  <si>
    <t>岩出市</t>
    <rPh sb="0" eb="3">
      <t>イワデシ</t>
    </rPh>
    <phoneticPr fontId="5"/>
  </si>
  <si>
    <t>イワデシ</t>
  </si>
  <si>
    <t>海南市</t>
    <rPh sb="0" eb="3">
      <t>カイナンシ</t>
    </rPh>
    <phoneticPr fontId="5"/>
  </si>
  <si>
    <t>カイナンシ</t>
  </si>
  <si>
    <t>かつらぎ町(旧花園村に限る。)</t>
    <rPh sb="4" eb="5">
      <t>チョウ</t>
    </rPh>
    <rPh sb="6" eb="7">
      <t>キュウ</t>
    </rPh>
    <rPh sb="7" eb="9">
      <t>ハナゾノ</t>
    </rPh>
    <rPh sb="9" eb="10">
      <t>ムラ</t>
    </rPh>
    <rPh sb="11" eb="12">
      <t>カギ</t>
    </rPh>
    <phoneticPr fontId="5"/>
  </si>
  <si>
    <t>カツラギチョウ(キュウハナゾノムラニカギル。)</t>
  </si>
  <si>
    <t>かつらぎ町（旧花園村を除く。）</t>
    <rPh sb="4" eb="5">
      <t>チョウ</t>
    </rPh>
    <rPh sb="6" eb="7">
      <t>キュウ</t>
    </rPh>
    <rPh sb="7" eb="9">
      <t>ハナゾノ</t>
    </rPh>
    <rPh sb="9" eb="10">
      <t>ムラ</t>
    </rPh>
    <rPh sb="11" eb="12">
      <t>ノゾ</t>
    </rPh>
    <phoneticPr fontId="5"/>
  </si>
  <si>
    <t>カツラギチョウ（キュウハナゾノムラヲノゾク。）</t>
  </si>
  <si>
    <t>上富田町</t>
    <rPh sb="0" eb="4">
      <t>カミトンダチョウ</t>
    </rPh>
    <phoneticPr fontId="5"/>
  </si>
  <si>
    <t>カミトンダチョウ</t>
  </si>
  <si>
    <t>北山村</t>
    <rPh sb="0" eb="1">
      <t>キタ</t>
    </rPh>
    <rPh sb="1" eb="3">
      <t>ヤマムラ</t>
    </rPh>
    <phoneticPr fontId="5"/>
  </si>
  <si>
    <t>キタヤマムラ</t>
  </si>
  <si>
    <t>紀の川市</t>
    <rPh sb="0" eb="1">
      <t>キ</t>
    </rPh>
    <rPh sb="2" eb="4">
      <t>カワシ</t>
    </rPh>
    <phoneticPr fontId="5"/>
  </si>
  <si>
    <t>キノカワシ</t>
  </si>
  <si>
    <t>紀美野町</t>
    <rPh sb="0" eb="4">
      <t>キミノチョウ</t>
    </rPh>
    <phoneticPr fontId="5"/>
  </si>
  <si>
    <t>キミノチョウ</t>
  </si>
  <si>
    <t>串本町</t>
    <rPh sb="0" eb="3">
      <t>クシモトチョウ</t>
    </rPh>
    <phoneticPr fontId="5"/>
  </si>
  <si>
    <t>クシモトチョウ</t>
  </si>
  <si>
    <t>九度山町</t>
    <rPh sb="0" eb="4">
      <t>クドヤマチョウ</t>
    </rPh>
    <phoneticPr fontId="5"/>
  </si>
  <si>
    <t>クドヤマチョウ</t>
  </si>
  <si>
    <t>古座川町</t>
    <rPh sb="0" eb="4">
      <t>コザガワチョウ</t>
    </rPh>
    <phoneticPr fontId="5"/>
  </si>
  <si>
    <t>コザガワチョウ</t>
  </si>
  <si>
    <t>御坊市</t>
    <rPh sb="0" eb="3">
      <t>ゴボウシ</t>
    </rPh>
    <phoneticPr fontId="5"/>
  </si>
  <si>
    <t>ゴボウシ</t>
  </si>
  <si>
    <t>白浜町</t>
    <rPh sb="0" eb="3">
      <t>シラハマチョウ</t>
    </rPh>
    <phoneticPr fontId="5"/>
  </si>
  <si>
    <t>シラハマチョウ</t>
  </si>
  <si>
    <t>新宮市</t>
    <rPh sb="0" eb="3">
      <t>シングウシ</t>
    </rPh>
    <phoneticPr fontId="5"/>
  </si>
  <si>
    <t>シングウシ</t>
  </si>
  <si>
    <t>すさみ町</t>
    <rPh sb="3" eb="4">
      <t>チョウ</t>
    </rPh>
    <phoneticPr fontId="5"/>
  </si>
  <si>
    <t>スサミチョウ</t>
  </si>
  <si>
    <t>太地町</t>
    <rPh sb="0" eb="3">
      <t>タイジチョウ</t>
    </rPh>
    <phoneticPr fontId="5"/>
  </si>
  <si>
    <t>タイジチョウ</t>
  </si>
  <si>
    <t>高野町</t>
    <rPh sb="0" eb="3">
      <t>タカノチョウ</t>
    </rPh>
    <phoneticPr fontId="5"/>
  </si>
  <si>
    <t>タカノチョウ</t>
  </si>
  <si>
    <t>田辺市(旧本宮町に限る。)</t>
    <rPh sb="0" eb="3">
      <t>タナベシ</t>
    </rPh>
    <rPh sb="4" eb="5">
      <t>キュウ</t>
    </rPh>
    <rPh sb="5" eb="8">
      <t>ホングウチョウ</t>
    </rPh>
    <rPh sb="9" eb="10">
      <t>カギ</t>
    </rPh>
    <phoneticPr fontId="5"/>
  </si>
  <si>
    <t>タナベシ(キュウホングウチョウニカギル。)</t>
  </si>
  <si>
    <t>田辺市（旧龍神村、旧本宮町を除く。）</t>
    <rPh sb="0" eb="3">
      <t>タナベシ</t>
    </rPh>
    <rPh sb="4" eb="5">
      <t>キュウ</t>
    </rPh>
    <rPh sb="5" eb="8">
      <t>リュウジンムラ</t>
    </rPh>
    <rPh sb="9" eb="10">
      <t>キュウ</t>
    </rPh>
    <rPh sb="10" eb="13">
      <t>ホングウチョウ</t>
    </rPh>
    <rPh sb="14" eb="15">
      <t>ノゾ</t>
    </rPh>
    <phoneticPr fontId="5"/>
  </si>
  <si>
    <t>タナベシ（キュウリュウジンムラ、キュウホングウチョウヲノゾク。）</t>
  </si>
  <si>
    <t>田辺市(旧龍神村に限る。)</t>
    <rPh sb="0" eb="3">
      <t>タナベシ</t>
    </rPh>
    <rPh sb="4" eb="5">
      <t>キュウ</t>
    </rPh>
    <rPh sb="5" eb="8">
      <t>リュウジンムラ</t>
    </rPh>
    <rPh sb="9" eb="10">
      <t>カギ</t>
    </rPh>
    <phoneticPr fontId="5"/>
  </si>
  <si>
    <t>タナベシ(キュウリュウジンムラニカギル。)</t>
  </si>
  <si>
    <t>那智勝浦町</t>
    <rPh sb="0" eb="5">
      <t>ナチカツウラチョウ</t>
    </rPh>
    <phoneticPr fontId="5"/>
  </si>
  <si>
    <t>ナチカツウラチョウ</t>
  </si>
  <si>
    <t>橋本市</t>
    <rPh sb="0" eb="3">
      <t>ハシモトシ</t>
    </rPh>
    <phoneticPr fontId="5"/>
  </si>
  <si>
    <t>ハシモトシ</t>
  </si>
  <si>
    <t>日高川町（旧川辺町、旧中津村に限る。）</t>
    <rPh sb="0" eb="4">
      <t>ヒダカガワチョウ</t>
    </rPh>
    <rPh sb="5" eb="6">
      <t>キュウ</t>
    </rPh>
    <rPh sb="6" eb="9">
      <t>カワベチョウ</t>
    </rPh>
    <rPh sb="10" eb="11">
      <t>キュウ</t>
    </rPh>
    <rPh sb="11" eb="13">
      <t>ナカツ</t>
    </rPh>
    <rPh sb="13" eb="14">
      <t>ムラ</t>
    </rPh>
    <rPh sb="15" eb="16">
      <t>カギ</t>
    </rPh>
    <phoneticPr fontId="5"/>
  </si>
  <si>
    <t>ヒダカガワチョウ（キュウカワベチョウ、キュウナカツムラニカギル。）</t>
  </si>
  <si>
    <t>日高川町（旧美山村に限る。）</t>
    <rPh sb="0" eb="4">
      <t>ヒダカガワチョウ</t>
    </rPh>
    <rPh sb="5" eb="6">
      <t>キュウ</t>
    </rPh>
    <rPh sb="6" eb="8">
      <t>ミヤマ</t>
    </rPh>
    <rPh sb="8" eb="9">
      <t>ムラ</t>
    </rPh>
    <rPh sb="10" eb="11">
      <t>カギ</t>
    </rPh>
    <phoneticPr fontId="5"/>
  </si>
  <si>
    <t>ヒダカガワチョウ（キュウミヤマムラニカギル。）</t>
  </si>
  <si>
    <t>広川町</t>
    <rPh sb="0" eb="3">
      <t>ヒロガワチョウ</t>
    </rPh>
    <phoneticPr fontId="5"/>
  </si>
  <si>
    <t>ヒロガワチョウ</t>
  </si>
  <si>
    <t>みなべ町</t>
    <rPh sb="3" eb="4">
      <t>チョウ</t>
    </rPh>
    <phoneticPr fontId="5"/>
  </si>
  <si>
    <t>ミナベチョウ</t>
  </si>
  <si>
    <t>湯浅町</t>
    <rPh sb="0" eb="3">
      <t>ユアサチョウ</t>
    </rPh>
    <phoneticPr fontId="5"/>
  </si>
  <si>
    <t>ユアサチョウ</t>
  </si>
  <si>
    <t>由良町</t>
    <rPh sb="0" eb="3">
      <t>ユラチョウ</t>
    </rPh>
    <phoneticPr fontId="5"/>
  </si>
  <si>
    <t>ユラチョウ</t>
  </si>
  <si>
    <t>和歌山市</t>
    <rPh sb="0" eb="4">
      <t>ワカヤマシ</t>
    </rPh>
    <phoneticPr fontId="5"/>
  </si>
  <si>
    <t>ワカヤマシ</t>
  </si>
  <si>
    <t>鳥取県</t>
  </si>
  <si>
    <t>岩美町</t>
    <rPh sb="0" eb="3">
      <t>イワミチョウ</t>
    </rPh>
    <phoneticPr fontId="5"/>
  </si>
  <si>
    <t>イワミチョウ</t>
  </si>
  <si>
    <t>北栄町</t>
    <rPh sb="0" eb="1">
      <t>キタ</t>
    </rPh>
    <rPh sb="1" eb="3">
      <t>エイマチ</t>
    </rPh>
    <phoneticPr fontId="5"/>
  </si>
  <si>
    <t>キタエイマチ</t>
  </si>
  <si>
    <t>倉吉市</t>
    <rPh sb="0" eb="3">
      <t>クラヨシシ</t>
    </rPh>
    <phoneticPr fontId="5"/>
  </si>
  <si>
    <t>クラヨシシ</t>
  </si>
  <si>
    <t>江府町</t>
    <rPh sb="0" eb="3">
      <t>コウフチョウ</t>
    </rPh>
    <phoneticPr fontId="5"/>
  </si>
  <si>
    <t>コウフチョウ</t>
  </si>
  <si>
    <t>琴浦町</t>
    <rPh sb="0" eb="3">
      <t>コトウラチョウ</t>
    </rPh>
    <phoneticPr fontId="5"/>
  </si>
  <si>
    <t>コトウラチョウ</t>
  </si>
  <si>
    <t>境港市</t>
    <rPh sb="0" eb="3">
      <t>サカイミナトシ</t>
    </rPh>
    <phoneticPr fontId="5"/>
  </si>
  <si>
    <t>サカイミナトシ</t>
  </si>
  <si>
    <t>大山町</t>
    <rPh sb="0" eb="3">
      <t>ダイセンチョウ</t>
    </rPh>
    <phoneticPr fontId="5"/>
  </si>
  <si>
    <t>ダイセンチョウ</t>
  </si>
  <si>
    <t>智頭町</t>
    <rPh sb="0" eb="3">
      <t>チヅチョウ</t>
    </rPh>
    <phoneticPr fontId="5"/>
  </si>
  <si>
    <t>チヅチョウ</t>
  </si>
  <si>
    <t>鳥取市</t>
    <rPh sb="0" eb="3">
      <t>トットリシ</t>
    </rPh>
    <phoneticPr fontId="5"/>
  </si>
  <si>
    <t>トットリシ</t>
  </si>
  <si>
    <t>日南町</t>
    <rPh sb="0" eb="3">
      <t>ニチナンチョウ</t>
    </rPh>
    <phoneticPr fontId="5"/>
  </si>
  <si>
    <t>ニチナンチョウ</t>
  </si>
  <si>
    <t>日吉津村</t>
    <rPh sb="0" eb="4">
      <t>ヒエヅソン</t>
    </rPh>
    <phoneticPr fontId="5"/>
  </si>
  <si>
    <t>ヒエヅソン</t>
  </si>
  <si>
    <t>伯耆町</t>
    <rPh sb="0" eb="3">
      <t>ホウキチョウ</t>
    </rPh>
    <phoneticPr fontId="5"/>
  </si>
  <si>
    <t>ホウキチョウ</t>
  </si>
  <si>
    <t>三朝町</t>
    <rPh sb="0" eb="3">
      <t>ミササチョウ</t>
    </rPh>
    <phoneticPr fontId="5"/>
  </si>
  <si>
    <t>ミササチョウ</t>
  </si>
  <si>
    <t>八頭町</t>
    <rPh sb="0" eb="2">
      <t>ヤズ</t>
    </rPh>
    <rPh sb="2" eb="3">
      <t>チョウ</t>
    </rPh>
    <phoneticPr fontId="5"/>
  </si>
  <si>
    <t>ヤズチョウ</t>
  </si>
  <si>
    <t>湯梨浜町</t>
    <rPh sb="0" eb="4">
      <t>ユリハマチョウ</t>
    </rPh>
    <phoneticPr fontId="5"/>
  </si>
  <si>
    <t>ユリハマチョウ</t>
  </si>
  <si>
    <t>米子市</t>
    <rPh sb="0" eb="3">
      <t>ヨナゴシ</t>
    </rPh>
    <phoneticPr fontId="5"/>
  </si>
  <si>
    <t>ヨナゴシ</t>
  </si>
  <si>
    <t>若桜町</t>
    <rPh sb="0" eb="3">
      <t>ワカサチョウ</t>
    </rPh>
    <phoneticPr fontId="5"/>
  </si>
  <si>
    <t>海士町</t>
    <rPh sb="0" eb="3">
      <t>アマチョウ</t>
    </rPh>
    <phoneticPr fontId="5"/>
  </si>
  <si>
    <t>アマチョウ</t>
  </si>
  <si>
    <t>飯南町</t>
    <rPh sb="0" eb="3">
      <t>イイナンチョウ</t>
    </rPh>
    <phoneticPr fontId="5"/>
  </si>
  <si>
    <t>イイナンチョウ</t>
  </si>
  <si>
    <t>出雲市</t>
    <rPh sb="0" eb="3">
      <t>イズモシ</t>
    </rPh>
    <phoneticPr fontId="5"/>
  </si>
  <si>
    <t>イズモシ</t>
  </si>
  <si>
    <t>雲南市</t>
    <rPh sb="0" eb="3">
      <t>ウンナンシ</t>
    </rPh>
    <phoneticPr fontId="5"/>
  </si>
  <si>
    <t>ウンナンシ</t>
  </si>
  <si>
    <t>大田市</t>
    <rPh sb="0" eb="3">
      <t>オオダシ</t>
    </rPh>
    <phoneticPr fontId="5"/>
  </si>
  <si>
    <t>オオダシ</t>
  </si>
  <si>
    <t>邑南町</t>
    <rPh sb="0" eb="3">
      <t>オオナンチョウ</t>
    </rPh>
    <phoneticPr fontId="5"/>
  </si>
  <si>
    <t>オオナンチョウ</t>
  </si>
  <si>
    <t>隠岐の島町</t>
    <rPh sb="0" eb="2">
      <t>オキ</t>
    </rPh>
    <rPh sb="3" eb="5">
      <t>シマチョウ</t>
    </rPh>
    <phoneticPr fontId="5"/>
  </si>
  <si>
    <t>オキノシマチョウ</t>
  </si>
  <si>
    <t>奥出雲町</t>
    <rPh sb="0" eb="4">
      <t>オクイズモチョウ</t>
    </rPh>
    <phoneticPr fontId="5"/>
  </si>
  <si>
    <t>オクイズモチョウ</t>
  </si>
  <si>
    <t>川本町</t>
    <rPh sb="0" eb="3">
      <t>カワモトマチ</t>
    </rPh>
    <phoneticPr fontId="5"/>
  </si>
  <si>
    <t>カワモトマチ</t>
  </si>
  <si>
    <t>江津市</t>
    <rPh sb="0" eb="3">
      <t>ゴウツシ</t>
    </rPh>
    <phoneticPr fontId="5"/>
  </si>
  <si>
    <t>ゴウツシ</t>
  </si>
  <si>
    <t>知夫村</t>
    <rPh sb="0" eb="3">
      <t>チブムラ</t>
    </rPh>
    <phoneticPr fontId="5"/>
  </si>
  <si>
    <t>チブムラ</t>
  </si>
  <si>
    <t>津和野町</t>
    <rPh sb="0" eb="4">
      <t>ツワノチョウ</t>
    </rPh>
    <phoneticPr fontId="5"/>
  </si>
  <si>
    <t>ツワノチョウ</t>
  </si>
  <si>
    <t>西ノ島町</t>
    <rPh sb="0" eb="1">
      <t>ニシ</t>
    </rPh>
    <rPh sb="2" eb="4">
      <t>シマチョウ</t>
    </rPh>
    <phoneticPr fontId="5"/>
  </si>
  <si>
    <t>ニシノシマチョウ</t>
  </si>
  <si>
    <t>浜田市</t>
    <rPh sb="0" eb="3">
      <t>ハマダシ</t>
    </rPh>
    <phoneticPr fontId="5"/>
  </si>
  <si>
    <t>ハマダシ</t>
  </si>
  <si>
    <t>益田市（旧益田市に限る。）</t>
    <rPh sb="0" eb="3">
      <t>マスダシ</t>
    </rPh>
    <rPh sb="4" eb="5">
      <t>キュウ</t>
    </rPh>
    <rPh sb="5" eb="8">
      <t>マスダシ</t>
    </rPh>
    <rPh sb="9" eb="10">
      <t>カギ</t>
    </rPh>
    <phoneticPr fontId="5"/>
  </si>
  <si>
    <t>マスダシ（キュウマスダシニカギル。）</t>
  </si>
  <si>
    <t>益田市(旧美都町、旧匹見町に限る。)</t>
    <rPh sb="0" eb="3">
      <t>マスダシ</t>
    </rPh>
    <rPh sb="4" eb="5">
      <t>キュウ</t>
    </rPh>
    <rPh sb="5" eb="8">
      <t>ミトチョウ</t>
    </rPh>
    <rPh sb="9" eb="10">
      <t>キュウ</t>
    </rPh>
    <rPh sb="10" eb="13">
      <t>ヒキミチョウ</t>
    </rPh>
    <rPh sb="14" eb="15">
      <t>カギ</t>
    </rPh>
    <phoneticPr fontId="5"/>
  </si>
  <si>
    <t>マスダシ(キュウミトチョウ、キュウヒキミチョウニカギル。)</t>
  </si>
  <si>
    <t>松江市</t>
    <rPh sb="0" eb="3">
      <t>マツエシ</t>
    </rPh>
    <phoneticPr fontId="5"/>
  </si>
  <si>
    <t>マツエシ</t>
  </si>
  <si>
    <t>安来市</t>
    <rPh sb="0" eb="3">
      <t>ヤスギシ</t>
    </rPh>
    <phoneticPr fontId="5"/>
  </si>
  <si>
    <t>ヤスギシ</t>
  </si>
  <si>
    <t>吉賀町</t>
    <rPh sb="0" eb="3">
      <t>ヨシカチョウ</t>
    </rPh>
    <phoneticPr fontId="5"/>
  </si>
  <si>
    <t>ヨシカチョウ</t>
  </si>
  <si>
    <t>岡山県</t>
  </si>
  <si>
    <t>赤磐市</t>
    <rPh sb="0" eb="3">
      <t>アカイワシ</t>
    </rPh>
    <phoneticPr fontId="5"/>
  </si>
  <si>
    <t>アカイワシ</t>
  </si>
  <si>
    <t>浅口市</t>
    <rPh sb="0" eb="3">
      <t>アサクチシ</t>
    </rPh>
    <phoneticPr fontId="5"/>
  </si>
  <si>
    <t>アサクチシ</t>
  </si>
  <si>
    <t>井原市</t>
    <rPh sb="0" eb="3">
      <t>イバラシ</t>
    </rPh>
    <phoneticPr fontId="5"/>
  </si>
  <si>
    <t>イバラシ</t>
  </si>
  <si>
    <t>岡山市</t>
    <rPh sb="0" eb="3">
      <t>オカヤマシ</t>
    </rPh>
    <phoneticPr fontId="5"/>
  </si>
  <si>
    <t>オカヤマシ</t>
  </si>
  <si>
    <t>鏡野町</t>
    <rPh sb="0" eb="3">
      <t>カガミノチョウ</t>
    </rPh>
    <phoneticPr fontId="5"/>
  </si>
  <si>
    <t>カガミノチョウ</t>
  </si>
  <si>
    <t>笠岡市</t>
    <rPh sb="0" eb="3">
      <t>カサオカシ</t>
    </rPh>
    <phoneticPr fontId="5"/>
  </si>
  <si>
    <t>カサオカシ</t>
  </si>
  <si>
    <t>吉備中央町</t>
    <rPh sb="0" eb="5">
      <t>キビチュウオウチョウ</t>
    </rPh>
    <phoneticPr fontId="5"/>
  </si>
  <si>
    <t>キビチュウオウチョウ</t>
  </si>
  <si>
    <t>久米南町</t>
    <rPh sb="0" eb="4">
      <t>クメナンチョウ</t>
    </rPh>
    <phoneticPr fontId="5"/>
  </si>
  <si>
    <t>クメナンチョウ</t>
  </si>
  <si>
    <t>倉敷市</t>
    <rPh sb="0" eb="3">
      <t>クラシキシ</t>
    </rPh>
    <phoneticPr fontId="5"/>
  </si>
  <si>
    <t>クラシキシ</t>
  </si>
  <si>
    <t>里庄町</t>
    <rPh sb="0" eb="3">
      <t>サトショウチョウ</t>
    </rPh>
    <phoneticPr fontId="5"/>
  </si>
  <si>
    <t>サトショウチョウ</t>
  </si>
  <si>
    <t>勝央町</t>
    <rPh sb="0" eb="3">
      <t>ショウオウチョウ</t>
    </rPh>
    <phoneticPr fontId="5"/>
  </si>
  <si>
    <t>ショウオウチョウ</t>
  </si>
  <si>
    <t>新庄村</t>
    <rPh sb="0" eb="2">
      <t>シンジョウ</t>
    </rPh>
    <rPh sb="2" eb="3">
      <t>ムラ</t>
    </rPh>
    <phoneticPr fontId="5"/>
  </si>
  <si>
    <t>シンジョウムラ</t>
  </si>
  <si>
    <t>瀬戸内市</t>
    <rPh sb="0" eb="4">
      <t>セトウチシ</t>
    </rPh>
    <phoneticPr fontId="5"/>
  </si>
  <si>
    <t>セトウチシ</t>
  </si>
  <si>
    <t>総社市</t>
    <rPh sb="0" eb="3">
      <t>ソウジャシ</t>
    </rPh>
    <phoneticPr fontId="5"/>
  </si>
  <si>
    <t>ソウジャシ</t>
  </si>
  <si>
    <t>高梁市</t>
    <rPh sb="0" eb="3">
      <t>タカハシシ</t>
    </rPh>
    <phoneticPr fontId="5"/>
  </si>
  <si>
    <t>タカハシシ</t>
  </si>
  <si>
    <t>玉野市</t>
    <rPh sb="0" eb="3">
      <t>タマノシ</t>
    </rPh>
    <phoneticPr fontId="5"/>
  </si>
  <si>
    <t>タマノシ</t>
  </si>
  <si>
    <t>津山市(旧阿波村に限る。)</t>
    <rPh sb="0" eb="3">
      <t>ツヤマシ</t>
    </rPh>
    <rPh sb="4" eb="5">
      <t>キュウ</t>
    </rPh>
    <rPh sb="5" eb="7">
      <t>アワ</t>
    </rPh>
    <rPh sb="7" eb="8">
      <t>ムラ</t>
    </rPh>
    <rPh sb="9" eb="10">
      <t>カギ</t>
    </rPh>
    <phoneticPr fontId="5"/>
  </si>
  <si>
    <t>ツヤマシ(キュウアワムラニカギル。)</t>
  </si>
  <si>
    <t>津山市(旧津山市、旧加茂町、旧勝北町、旧久米町に限る。)</t>
    <rPh sb="0" eb="3">
      <t>ツヤマシ</t>
    </rPh>
    <rPh sb="4" eb="5">
      <t>キュウ</t>
    </rPh>
    <rPh sb="5" eb="8">
      <t>ツヤマシ</t>
    </rPh>
    <rPh sb="9" eb="10">
      <t>キュウ</t>
    </rPh>
    <rPh sb="10" eb="13">
      <t>カモチョウ</t>
    </rPh>
    <rPh sb="14" eb="15">
      <t>キュウ</t>
    </rPh>
    <rPh sb="15" eb="18">
      <t>ショウボクチョウ</t>
    </rPh>
    <rPh sb="19" eb="20">
      <t>キュウ</t>
    </rPh>
    <rPh sb="20" eb="23">
      <t>クメチョウ</t>
    </rPh>
    <rPh sb="24" eb="25">
      <t>カギ</t>
    </rPh>
    <phoneticPr fontId="5"/>
  </si>
  <si>
    <t>ツヤマシ(キュウツヤマシ、キュウカモチョウ、キュウショウボクチョウ、キュウクメチョウニカギル。)</t>
  </si>
  <si>
    <t>奈義町</t>
    <rPh sb="0" eb="3">
      <t>ナギチョウ</t>
    </rPh>
    <phoneticPr fontId="5"/>
  </si>
  <si>
    <t>ナギチョウ</t>
  </si>
  <si>
    <t>新見市</t>
    <rPh sb="0" eb="3">
      <t>ニイミシ</t>
    </rPh>
    <phoneticPr fontId="5"/>
  </si>
  <si>
    <t>ニイミシ</t>
  </si>
  <si>
    <t>西粟倉村</t>
    <rPh sb="0" eb="4">
      <t>ニシアワクラソン</t>
    </rPh>
    <phoneticPr fontId="5"/>
  </si>
  <si>
    <t>ニシアワクラソン</t>
  </si>
  <si>
    <t>早島町</t>
    <rPh sb="0" eb="3">
      <t>ハヤシマチョウ</t>
    </rPh>
    <phoneticPr fontId="5"/>
  </si>
  <si>
    <t>ハヤシマチョウ</t>
  </si>
  <si>
    <t>備前市</t>
    <rPh sb="0" eb="3">
      <t>ビゼンシ</t>
    </rPh>
    <phoneticPr fontId="5"/>
  </si>
  <si>
    <t>ビゼンシ</t>
  </si>
  <si>
    <t>真庭市(旧北房町、旧勝山町、旧落合町、旧久世町に限る。)</t>
    <rPh sb="0" eb="3">
      <t>マニワシ</t>
    </rPh>
    <rPh sb="4" eb="5">
      <t>キュウ</t>
    </rPh>
    <rPh sb="5" eb="8">
      <t>ホクボウチョウ</t>
    </rPh>
    <rPh sb="9" eb="10">
      <t>キュウ</t>
    </rPh>
    <rPh sb="10" eb="12">
      <t>カツヤマ</t>
    </rPh>
    <rPh sb="12" eb="13">
      <t>マチ</t>
    </rPh>
    <rPh sb="14" eb="15">
      <t>キュウ</t>
    </rPh>
    <rPh sb="15" eb="18">
      <t>オチアイチョウ</t>
    </rPh>
    <rPh sb="19" eb="20">
      <t>キュウ</t>
    </rPh>
    <rPh sb="20" eb="23">
      <t>クセチョウ</t>
    </rPh>
    <rPh sb="24" eb="25">
      <t>カギ</t>
    </rPh>
    <phoneticPr fontId="5"/>
  </si>
  <si>
    <t>マニワシ(キュウホクボウチョウ、キュウカツヤママチ、キュウオチアイチョウ、キュウクセチョウニカギル。)</t>
  </si>
  <si>
    <t>真庭市(旧湯原町、旧美甘村、旧川上村、旧八束村、旧中和村に限る。)</t>
    <rPh sb="0" eb="3">
      <t>マニワシ</t>
    </rPh>
    <rPh sb="4" eb="5">
      <t>キュウ</t>
    </rPh>
    <rPh sb="5" eb="8">
      <t>ユバラチョウ</t>
    </rPh>
    <rPh sb="9" eb="10">
      <t>キュウ</t>
    </rPh>
    <rPh sb="10" eb="13">
      <t>ミカモソン</t>
    </rPh>
    <rPh sb="14" eb="15">
      <t>キュウ</t>
    </rPh>
    <rPh sb="15" eb="17">
      <t>カワカミ</t>
    </rPh>
    <rPh sb="17" eb="18">
      <t>ムラ</t>
    </rPh>
    <rPh sb="19" eb="20">
      <t>キュウ</t>
    </rPh>
    <rPh sb="20" eb="23">
      <t>ヤツカムラ</t>
    </rPh>
    <rPh sb="24" eb="25">
      <t>キュウ</t>
    </rPh>
    <rPh sb="25" eb="27">
      <t>チュウワ</t>
    </rPh>
    <rPh sb="27" eb="28">
      <t>ムラ</t>
    </rPh>
    <rPh sb="29" eb="30">
      <t>カギ</t>
    </rPh>
    <phoneticPr fontId="5"/>
  </si>
  <si>
    <t>マニワシ(キュウユバラチョウ、キュウミカモソン、キュウカワカミムラ、キュウヤツカムラ、キュウチュウワムラニカギル。)</t>
  </si>
  <si>
    <t>美咲町</t>
    <rPh sb="0" eb="3">
      <t>ミサキチョウ</t>
    </rPh>
    <phoneticPr fontId="5"/>
  </si>
  <si>
    <t>美作市</t>
    <rPh sb="0" eb="3">
      <t>ミマサカシ</t>
    </rPh>
    <phoneticPr fontId="5"/>
  </si>
  <si>
    <t>ミマサカシ</t>
  </si>
  <si>
    <t>矢掛町</t>
    <rPh sb="0" eb="3">
      <t>ヤカゲチョウ</t>
    </rPh>
    <phoneticPr fontId="5"/>
  </si>
  <si>
    <t>ヤカゲチョウ</t>
  </si>
  <si>
    <t>和気町</t>
    <rPh sb="0" eb="3">
      <t>ワケチョウ</t>
    </rPh>
    <phoneticPr fontId="5"/>
  </si>
  <si>
    <t>ワケチョウ</t>
  </si>
  <si>
    <t>広島県</t>
  </si>
  <si>
    <t>安芸太田町</t>
    <rPh sb="0" eb="5">
      <t>アキオオタチョウ</t>
    </rPh>
    <phoneticPr fontId="5"/>
  </si>
  <si>
    <t>アキオオタチョウ</t>
  </si>
  <si>
    <t>安芸高田市</t>
    <rPh sb="0" eb="5">
      <t>アキタカタシ</t>
    </rPh>
    <phoneticPr fontId="5"/>
  </si>
  <si>
    <t>アキタカタシ</t>
  </si>
  <si>
    <t>江田島市</t>
    <rPh sb="0" eb="4">
      <t>エタジマシ</t>
    </rPh>
    <phoneticPr fontId="5"/>
  </si>
  <si>
    <t>エタジマシ</t>
  </si>
  <si>
    <t>大崎上島町</t>
    <rPh sb="0" eb="5">
      <t>オオサキカミジマチョウ</t>
    </rPh>
    <phoneticPr fontId="5"/>
  </si>
  <si>
    <t>オオサキカミジマチョウ</t>
  </si>
  <si>
    <t>大竹市</t>
    <rPh sb="0" eb="3">
      <t>オオタケシ</t>
    </rPh>
    <phoneticPr fontId="5"/>
  </si>
  <si>
    <t>オオタケシ</t>
  </si>
  <si>
    <t>尾道市</t>
    <rPh sb="0" eb="3">
      <t>オノミチシ</t>
    </rPh>
    <phoneticPr fontId="5"/>
  </si>
  <si>
    <t>オノミチシ</t>
  </si>
  <si>
    <t>海田町</t>
    <rPh sb="0" eb="3">
      <t>カイタチョウ</t>
    </rPh>
    <phoneticPr fontId="5"/>
  </si>
  <si>
    <t>カイタチョウ</t>
  </si>
  <si>
    <t>北広島町</t>
    <rPh sb="0" eb="3">
      <t>キタヒロシマ</t>
    </rPh>
    <rPh sb="3" eb="4">
      <t>チョウ</t>
    </rPh>
    <phoneticPr fontId="5"/>
  </si>
  <si>
    <t>キタヒロシマチョウ</t>
  </si>
  <si>
    <t>熊野町</t>
    <rPh sb="0" eb="3">
      <t>クマノチョウ</t>
    </rPh>
    <phoneticPr fontId="5"/>
  </si>
  <si>
    <t>クマノチョウ</t>
  </si>
  <si>
    <t>呉市</t>
    <rPh sb="0" eb="2">
      <t>クレシ</t>
    </rPh>
    <phoneticPr fontId="5"/>
  </si>
  <si>
    <t>クレシ</t>
  </si>
  <si>
    <t>坂町</t>
    <rPh sb="0" eb="2">
      <t>サカチョウ</t>
    </rPh>
    <phoneticPr fontId="5"/>
  </si>
  <si>
    <t>サカチョウ</t>
  </si>
  <si>
    <t>庄原市（旧庄原市に限る。）</t>
    <rPh sb="0" eb="3">
      <t>ショウバラシ</t>
    </rPh>
    <rPh sb="4" eb="5">
      <t>キュウ</t>
    </rPh>
    <rPh sb="5" eb="8">
      <t>ショウバラシ</t>
    </rPh>
    <rPh sb="9" eb="10">
      <t>カギ</t>
    </rPh>
    <phoneticPr fontId="5"/>
  </si>
  <si>
    <t>ショウバラシ（キュウショウバラシニカギル。）</t>
  </si>
  <si>
    <t>庄原市（旧総領町、旧西城町、旧東城町、旧口和町、旧高野町、旧比和町に限る。）</t>
    <rPh sb="0" eb="3">
      <t>ショウバラシ</t>
    </rPh>
    <rPh sb="4" eb="5">
      <t>キュウ</t>
    </rPh>
    <rPh sb="5" eb="8">
      <t>ソウリョウチョウ</t>
    </rPh>
    <rPh sb="9" eb="10">
      <t>キュウ</t>
    </rPh>
    <rPh sb="10" eb="13">
      <t>サイジョウチョウ</t>
    </rPh>
    <rPh sb="14" eb="15">
      <t>キュウ</t>
    </rPh>
    <rPh sb="15" eb="18">
      <t>トウジョウチョウ</t>
    </rPh>
    <rPh sb="19" eb="20">
      <t>キュウ</t>
    </rPh>
    <rPh sb="20" eb="23">
      <t>クチワチョウ</t>
    </rPh>
    <rPh sb="24" eb="25">
      <t>キュウ</t>
    </rPh>
    <rPh sb="25" eb="28">
      <t>タカノチョウ</t>
    </rPh>
    <rPh sb="29" eb="30">
      <t>キュウ</t>
    </rPh>
    <rPh sb="30" eb="33">
      <t>ヒワチョウ</t>
    </rPh>
    <rPh sb="34" eb="35">
      <t>カギ</t>
    </rPh>
    <phoneticPr fontId="5"/>
  </si>
  <si>
    <t>ショウバラシ（キュウソウリョウチョウ、キュウサイジョウチョウ、キュウトウジョウチョウ、キュウクチワチョウ、キュウタカノチョウ、キュウヒワチョウニカギル。）</t>
  </si>
  <si>
    <t>神石高原町</t>
    <rPh sb="0" eb="5">
      <t>ジンセキコウゲンチョウ</t>
    </rPh>
    <phoneticPr fontId="5"/>
  </si>
  <si>
    <t>ジンセキコウゲンチョウ</t>
  </si>
  <si>
    <t>世羅町</t>
    <rPh sb="0" eb="3">
      <t>セラチョウ</t>
    </rPh>
    <phoneticPr fontId="5"/>
  </si>
  <si>
    <t>セラチョウ</t>
  </si>
  <si>
    <t>竹原市</t>
    <rPh sb="0" eb="3">
      <t>タケハラシ</t>
    </rPh>
    <phoneticPr fontId="5"/>
  </si>
  <si>
    <t>タケハラシ</t>
  </si>
  <si>
    <t>廿日市市（旧佐伯町、旧吉和村を除く。）</t>
    <rPh sb="0" eb="4">
      <t>ハツカイチシ</t>
    </rPh>
    <rPh sb="5" eb="6">
      <t>キュウ</t>
    </rPh>
    <rPh sb="6" eb="9">
      <t>サイキチョウ</t>
    </rPh>
    <rPh sb="10" eb="11">
      <t>キュウ</t>
    </rPh>
    <rPh sb="11" eb="14">
      <t>ヨシワムラ</t>
    </rPh>
    <rPh sb="15" eb="16">
      <t>ノゾ</t>
    </rPh>
    <phoneticPr fontId="5"/>
  </si>
  <si>
    <t>ハツカイチシ（キュウサイキチョウ、キュウヨシワムラヲノゾク。）</t>
  </si>
  <si>
    <t>廿日市市（旧佐伯町に限る。）</t>
    <rPh sb="0" eb="4">
      <t>ハツカイチシ</t>
    </rPh>
    <rPh sb="5" eb="6">
      <t>キュウ</t>
    </rPh>
    <rPh sb="6" eb="9">
      <t>サイキチョウ</t>
    </rPh>
    <rPh sb="10" eb="11">
      <t>カギ</t>
    </rPh>
    <phoneticPr fontId="5"/>
  </si>
  <si>
    <t>ハツカイチシ（キュウサイキチョウニカギル。）</t>
  </si>
  <si>
    <t>廿日市市（旧吉和村に限る。）</t>
    <rPh sb="0" eb="4">
      <t>ハツカイチシ</t>
    </rPh>
    <rPh sb="5" eb="6">
      <t>キュウ</t>
    </rPh>
    <rPh sb="6" eb="9">
      <t>ヨシワムラ</t>
    </rPh>
    <rPh sb="10" eb="11">
      <t>カギ</t>
    </rPh>
    <phoneticPr fontId="5"/>
  </si>
  <si>
    <t>ハツカイチシ（キュウヨシワムラニカギル。）</t>
  </si>
  <si>
    <t>東広島市</t>
    <rPh sb="0" eb="4">
      <t>ヒガシヒロシマシ</t>
    </rPh>
    <phoneticPr fontId="5"/>
  </si>
  <si>
    <t>ヒガシヒロシマシ</t>
  </si>
  <si>
    <t>広島市</t>
    <rPh sb="0" eb="3">
      <t>ヒロシマシ</t>
    </rPh>
    <phoneticPr fontId="5"/>
  </si>
  <si>
    <t>ヒロシマシ</t>
  </si>
  <si>
    <t>福山市</t>
    <rPh sb="0" eb="3">
      <t>フクヤマシ</t>
    </rPh>
    <phoneticPr fontId="5"/>
  </si>
  <si>
    <t>フクヤマシ</t>
  </si>
  <si>
    <t>府中町</t>
    <rPh sb="0" eb="3">
      <t>フチュウチョウ</t>
    </rPh>
    <phoneticPr fontId="5"/>
  </si>
  <si>
    <t>フチュウチョウ</t>
  </si>
  <si>
    <t>三原市</t>
    <rPh sb="0" eb="3">
      <t>ミハラシ</t>
    </rPh>
    <phoneticPr fontId="5"/>
  </si>
  <si>
    <t>ミハラシ</t>
  </si>
  <si>
    <t>三次市</t>
    <rPh sb="0" eb="3">
      <t>ミヨシシ</t>
    </rPh>
    <phoneticPr fontId="5"/>
  </si>
  <si>
    <t>山口県</t>
  </si>
  <si>
    <t>阿武町</t>
    <rPh sb="0" eb="3">
      <t>アブチョウ</t>
    </rPh>
    <phoneticPr fontId="5"/>
  </si>
  <si>
    <t>アブチョウ</t>
  </si>
  <si>
    <t>岩国市</t>
    <rPh sb="0" eb="3">
      <t>イワクニシ</t>
    </rPh>
    <phoneticPr fontId="5"/>
  </si>
  <si>
    <t>イワクニシ</t>
  </si>
  <si>
    <t>宇部市</t>
    <rPh sb="0" eb="3">
      <t>ウベシ</t>
    </rPh>
    <phoneticPr fontId="5"/>
  </si>
  <si>
    <t>ウベシ</t>
  </si>
  <si>
    <t>上関町</t>
    <rPh sb="0" eb="3">
      <t>カミノセキチョウ</t>
    </rPh>
    <phoneticPr fontId="5"/>
  </si>
  <si>
    <t>カミノセキチョウ</t>
  </si>
  <si>
    <t>下松市</t>
    <rPh sb="0" eb="3">
      <t>クダマツシ</t>
    </rPh>
    <phoneticPr fontId="5"/>
  </si>
  <si>
    <t>クダマツシ</t>
  </si>
  <si>
    <t>山陽小野田市</t>
    <rPh sb="0" eb="6">
      <t>サンヨウオノダシ</t>
    </rPh>
    <phoneticPr fontId="5"/>
  </si>
  <si>
    <t>サンヨウオノダシ</t>
  </si>
  <si>
    <t>下関市(旧豊田町に限る。)</t>
    <rPh sb="0" eb="3">
      <t>シモノセキシ</t>
    </rPh>
    <rPh sb="4" eb="5">
      <t>キュウ</t>
    </rPh>
    <rPh sb="5" eb="8">
      <t>トヨタチョウ</t>
    </rPh>
    <rPh sb="9" eb="10">
      <t>カギ</t>
    </rPh>
    <phoneticPr fontId="5"/>
  </si>
  <si>
    <t>シモノセキシ(キュウトヨタチョウニカギル。)</t>
  </si>
  <si>
    <t>下関市（旧豊田町を除く。）</t>
    <rPh sb="0" eb="3">
      <t>シモノセキシ</t>
    </rPh>
    <rPh sb="4" eb="5">
      <t>キュウ</t>
    </rPh>
    <rPh sb="5" eb="8">
      <t>トヨタチョウ</t>
    </rPh>
    <rPh sb="9" eb="10">
      <t>ノゾ</t>
    </rPh>
    <phoneticPr fontId="5"/>
  </si>
  <si>
    <t>シモノセキシ（キュウトヨタチョウヲノゾク。）</t>
  </si>
  <si>
    <t>周南市</t>
    <rPh sb="0" eb="3">
      <t>シュウナンシ</t>
    </rPh>
    <phoneticPr fontId="5"/>
  </si>
  <si>
    <t>シュウナンシ</t>
  </si>
  <si>
    <t>周防大島町</t>
    <rPh sb="0" eb="5">
      <t>スオウオオシマチョウ</t>
    </rPh>
    <phoneticPr fontId="5"/>
  </si>
  <si>
    <t>スオウオオシマチョウ</t>
  </si>
  <si>
    <t>田布施町</t>
    <rPh sb="0" eb="4">
      <t>タブセチョウ</t>
    </rPh>
    <phoneticPr fontId="5"/>
  </si>
  <si>
    <t>タブセチョウ</t>
  </si>
  <si>
    <t>長門市</t>
    <rPh sb="0" eb="3">
      <t>ナガトシ</t>
    </rPh>
    <phoneticPr fontId="5"/>
  </si>
  <si>
    <t>ナガトシ</t>
  </si>
  <si>
    <t>萩市(旧萩市、旧川上村、旧田万川町、旧須佐町、旧旭村に限る。)</t>
    <rPh sb="0" eb="2">
      <t>ハギシ</t>
    </rPh>
    <rPh sb="3" eb="4">
      <t>キュウ</t>
    </rPh>
    <rPh sb="4" eb="6">
      <t>ハギシ</t>
    </rPh>
    <rPh sb="7" eb="8">
      <t>キュウ</t>
    </rPh>
    <rPh sb="8" eb="10">
      <t>カワカミ</t>
    </rPh>
    <rPh sb="10" eb="11">
      <t>ムラ</t>
    </rPh>
    <rPh sb="12" eb="13">
      <t>キュウ</t>
    </rPh>
    <rPh sb="13" eb="17">
      <t>タマガワチョウ</t>
    </rPh>
    <rPh sb="18" eb="19">
      <t>キュウ</t>
    </rPh>
    <rPh sb="19" eb="22">
      <t>スサチョウ</t>
    </rPh>
    <rPh sb="23" eb="24">
      <t>キュウ</t>
    </rPh>
    <rPh sb="24" eb="26">
      <t>アサヒムラ</t>
    </rPh>
    <rPh sb="27" eb="28">
      <t>カギ</t>
    </rPh>
    <phoneticPr fontId="5"/>
  </si>
  <si>
    <t>ハギシ(キュウハギシ、キュウカワカミムラ、キュウタマガワチョウ、キュウスサチョウ、キュウアサヒムラニカギル。)</t>
  </si>
  <si>
    <t>萩市(旧むつみ村、旧福栄村に限る。)</t>
    <rPh sb="0" eb="2">
      <t>ハギシ</t>
    </rPh>
    <rPh sb="3" eb="4">
      <t>キュウ</t>
    </rPh>
    <rPh sb="7" eb="8">
      <t>ソン</t>
    </rPh>
    <rPh sb="9" eb="10">
      <t>キュウ</t>
    </rPh>
    <rPh sb="10" eb="13">
      <t>フクエソン</t>
    </rPh>
    <rPh sb="14" eb="15">
      <t>カギ</t>
    </rPh>
    <phoneticPr fontId="5"/>
  </si>
  <si>
    <t>ハギシ(キュウムツミソン、キュウフクエソンニカギル。)</t>
  </si>
  <si>
    <t>光市</t>
    <rPh sb="0" eb="2">
      <t>ヒカリシ</t>
    </rPh>
    <phoneticPr fontId="5"/>
  </si>
  <si>
    <t>ヒカリシ</t>
  </si>
  <si>
    <t>平生町</t>
    <rPh sb="0" eb="3">
      <t>ヒラオチョウ</t>
    </rPh>
    <phoneticPr fontId="5"/>
  </si>
  <si>
    <t>ヒラオチョウ</t>
  </si>
  <si>
    <t>防府市</t>
    <rPh sb="0" eb="3">
      <t>ホウフシ</t>
    </rPh>
    <phoneticPr fontId="5"/>
  </si>
  <si>
    <t>ホウフシ</t>
  </si>
  <si>
    <t>美祢市</t>
    <rPh sb="0" eb="3">
      <t>ミネシ</t>
    </rPh>
    <phoneticPr fontId="5"/>
  </si>
  <si>
    <t>ミネシ</t>
  </si>
  <si>
    <t>柳井市</t>
    <rPh sb="0" eb="3">
      <t>ヤナイシ</t>
    </rPh>
    <phoneticPr fontId="5"/>
  </si>
  <si>
    <t>ヤナイシ</t>
  </si>
  <si>
    <t>山口市</t>
    <rPh sb="0" eb="3">
      <t>ヤマグチシ</t>
    </rPh>
    <phoneticPr fontId="5"/>
  </si>
  <si>
    <t>ヤマグチシ</t>
  </si>
  <si>
    <t>和木町</t>
    <rPh sb="0" eb="3">
      <t>ワキチョウ</t>
    </rPh>
    <phoneticPr fontId="5"/>
  </si>
  <si>
    <t>ワキチョウ</t>
  </si>
  <si>
    <t>徳島県</t>
  </si>
  <si>
    <t>藍住町</t>
    <rPh sb="0" eb="3">
      <t>アイズミチョウ</t>
    </rPh>
    <phoneticPr fontId="5"/>
  </si>
  <si>
    <t>アイズミチョウ</t>
  </si>
  <si>
    <t>阿南市</t>
    <rPh sb="0" eb="3">
      <t>アナンシ</t>
    </rPh>
    <phoneticPr fontId="5"/>
  </si>
  <si>
    <t>アナンシ</t>
  </si>
  <si>
    <t>阿波市</t>
    <rPh sb="0" eb="3">
      <t>アワシ</t>
    </rPh>
    <phoneticPr fontId="5"/>
  </si>
  <si>
    <t>アワシ</t>
  </si>
  <si>
    <t>石井町</t>
    <rPh sb="0" eb="3">
      <t>イシイチョウ</t>
    </rPh>
    <phoneticPr fontId="5"/>
  </si>
  <si>
    <t>イシイチョウ</t>
  </si>
  <si>
    <t>板野町</t>
    <rPh sb="0" eb="3">
      <t>イタノチョウ</t>
    </rPh>
    <phoneticPr fontId="5"/>
  </si>
  <si>
    <t>イタノチョウ</t>
  </si>
  <si>
    <t>海陽町</t>
    <rPh sb="0" eb="3">
      <t>カイヨウチョウ</t>
    </rPh>
    <phoneticPr fontId="5"/>
  </si>
  <si>
    <t>カイヨウチョウ</t>
  </si>
  <si>
    <t>勝浦町</t>
    <rPh sb="0" eb="3">
      <t>カツウラチョウ</t>
    </rPh>
    <phoneticPr fontId="5"/>
  </si>
  <si>
    <t>カツウラチョウ</t>
  </si>
  <si>
    <t>上板町</t>
    <rPh sb="0" eb="3">
      <t>カミイタチョウ</t>
    </rPh>
    <phoneticPr fontId="5"/>
  </si>
  <si>
    <t>カミイタチョウ</t>
  </si>
  <si>
    <t>上勝町</t>
    <rPh sb="0" eb="3">
      <t>カミカツチョウ</t>
    </rPh>
    <phoneticPr fontId="5"/>
  </si>
  <si>
    <t>カミカツチョウ</t>
  </si>
  <si>
    <t>神山町</t>
    <rPh sb="0" eb="3">
      <t>カミヤマチョウ</t>
    </rPh>
    <phoneticPr fontId="5"/>
  </si>
  <si>
    <t>カミヤマチョウ</t>
  </si>
  <si>
    <t>北島町</t>
    <rPh sb="0" eb="3">
      <t>キタジマチョウ</t>
    </rPh>
    <phoneticPr fontId="5"/>
  </si>
  <si>
    <t>キタジマチョウ</t>
  </si>
  <si>
    <t>小松島市</t>
    <rPh sb="0" eb="4">
      <t>コマツシマシ</t>
    </rPh>
    <phoneticPr fontId="5"/>
  </si>
  <si>
    <t>コマツシマシ</t>
  </si>
  <si>
    <t>佐那河内村</t>
    <rPh sb="0" eb="5">
      <t>サナゴウチソン</t>
    </rPh>
    <phoneticPr fontId="5"/>
  </si>
  <si>
    <t>サナゴウチソン</t>
  </si>
  <si>
    <t>つるぎ町</t>
    <rPh sb="3" eb="4">
      <t>チョウ</t>
    </rPh>
    <phoneticPr fontId="5"/>
  </si>
  <si>
    <t>ツルギチョウ</t>
  </si>
  <si>
    <t>徳島市</t>
    <rPh sb="0" eb="3">
      <t>トクシマシ</t>
    </rPh>
    <phoneticPr fontId="5"/>
  </si>
  <si>
    <t>トクシマシ</t>
  </si>
  <si>
    <t>那賀町</t>
    <rPh sb="0" eb="3">
      <t>ナガチョウ</t>
    </rPh>
    <phoneticPr fontId="5"/>
  </si>
  <si>
    <t>ナガチョウ</t>
  </si>
  <si>
    <t>鳴門市</t>
    <rPh sb="0" eb="3">
      <t>ナルトシ</t>
    </rPh>
    <phoneticPr fontId="5"/>
  </si>
  <si>
    <t>ナルトシ</t>
  </si>
  <si>
    <t>東みよし町</t>
    <rPh sb="0" eb="1">
      <t>ヒガシ</t>
    </rPh>
    <rPh sb="4" eb="5">
      <t>チョウ</t>
    </rPh>
    <phoneticPr fontId="5"/>
  </si>
  <si>
    <t>ヒガシミヨシチョウ</t>
  </si>
  <si>
    <t>松茂町</t>
    <rPh sb="0" eb="3">
      <t>マツシゲチョウ</t>
    </rPh>
    <phoneticPr fontId="5"/>
  </si>
  <si>
    <t>マツシゲチョウ</t>
  </si>
  <si>
    <t>美波町</t>
    <rPh sb="0" eb="3">
      <t>ミナミチョウ</t>
    </rPh>
    <phoneticPr fontId="5"/>
  </si>
  <si>
    <t>ミナミチョウ</t>
  </si>
  <si>
    <t>美馬市</t>
    <rPh sb="0" eb="3">
      <t>ミマシ</t>
    </rPh>
    <phoneticPr fontId="5"/>
  </si>
  <si>
    <t>ミマシ</t>
  </si>
  <si>
    <t>三好市</t>
    <rPh sb="0" eb="3">
      <t>ミヨシシ</t>
    </rPh>
    <phoneticPr fontId="5"/>
  </si>
  <si>
    <t>牟岐町</t>
    <rPh sb="0" eb="3">
      <t>ムギチョウ</t>
    </rPh>
    <phoneticPr fontId="5"/>
  </si>
  <si>
    <t>ムギチョウ</t>
  </si>
  <si>
    <t>吉野川市</t>
    <rPh sb="0" eb="4">
      <t>ヨシノガワシ</t>
    </rPh>
    <phoneticPr fontId="5"/>
  </si>
  <si>
    <t>ヨシノガワシ</t>
  </si>
  <si>
    <t>香川県</t>
  </si>
  <si>
    <t>全ての市町　</t>
    <rPh sb="0" eb="1">
      <t>スベ</t>
    </rPh>
    <rPh sb="3" eb="5">
      <t>シチョウ</t>
    </rPh>
    <phoneticPr fontId="5"/>
  </si>
  <si>
    <t>スベテノシチョウ　</t>
  </si>
  <si>
    <t>愛媛県</t>
  </si>
  <si>
    <t>愛南町</t>
    <rPh sb="0" eb="3">
      <t>アイナンチョウ</t>
    </rPh>
    <phoneticPr fontId="5"/>
  </si>
  <si>
    <t>アイナンチョウ</t>
  </si>
  <si>
    <t>伊方町</t>
    <rPh sb="0" eb="3">
      <t>イカタチョウ</t>
    </rPh>
    <phoneticPr fontId="5"/>
  </si>
  <si>
    <t>イカタチョウ</t>
  </si>
  <si>
    <t>今治市</t>
    <rPh sb="0" eb="3">
      <t>イマバリシ</t>
    </rPh>
    <phoneticPr fontId="5"/>
  </si>
  <si>
    <t>イマバリシ</t>
  </si>
  <si>
    <t>伊予市</t>
    <rPh sb="0" eb="3">
      <t>イヨシ</t>
    </rPh>
    <phoneticPr fontId="5"/>
  </si>
  <si>
    <t>イヨシ</t>
  </si>
  <si>
    <t>内子町（旧内子町、旧五十崎町に限る。）</t>
    <rPh sb="0" eb="3">
      <t>ウチコチョウ</t>
    </rPh>
    <rPh sb="4" eb="5">
      <t>キュウ</t>
    </rPh>
    <rPh sb="5" eb="8">
      <t>ウチコチョウ</t>
    </rPh>
    <rPh sb="9" eb="10">
      <t>キュウ</t>
    </rPh>
    <rPh sb="10" eb="14">
      <t>イカザキチョウ</t>
    </rPh>
    <rPh sb="15" eb="16">
      <t>カギ</t>
    </rPh>
    <phoneticPr fontId="5"/>
  </si>
  <si>
    <t>ウチコチョウ（キュウウチコチョウ、キュウイカザキチョウニカギル。）</t>
  </si>
  <si>
    <t>内子町（旧小田町に限る。）</t>
    <rPh sb="0" eb="3">
      <t>ウチコチョウ</t>
    </rPh>
    <rPh sb="4" eb="5">
      <t>キュウ</t>
    </rPh>
    <rPh sb="5" eb="8">
      <t>オダチョウ</t>
    </rPh>
    <rPh sb="9" eb="10">
      <t>カギ</t>
    </rPh>
    <phoneticPr fontId="5"/>
  </si>
  <si>
    <t>ウチコチョウ（キュウオダチョウニカギル。）</t>
  </si>
  <si>
    <t>宇和島市</t>
    <rPh sb="0" eb="4">
      <t>ウワジマシ</t>
    </rPh>
    <phoneticPr fontId="5"/>
  </si>
  <si>
    <t>ウワジマシ</t>
  </si>
  <si>
    <t>大洲市(旧大洲市、旧長浜町に限る。)</t>
    <rPh sb="0" eb="3">
      <t>オオズシ</t>
    </rPh>
    <rPh sb="4" eb="5">
      <t>キュウ</t>
    </rPh>
    <rPh sb="5" eb="8">
      <t>オオズシ</t>
    </rPh>
    <rPh sb="9" eb="10">
      <t>キュウ</t>
    </rPh>
    <rPh sb="10" eb="13">
      <t>ナガハマチョウ</t>
    </rPh>
    <rPh sb="14" eb="15">
      <t>カギ</t>
    </rPh>
    <phoneticPr fontId="5"/>
  </si>
  <si>
    <t>オオズシ(キュウオオズシ、キュウナガハマチョウニカギル。)</t>
  </si>
  <si>
    <t>大洲市(旧肱川町、旧河辺村に限る。)</t>
    <rPh sb="0" eb="3">
      <t>オオズシ</t>
    </rPh>
    <rPh sb="4" eb="5">
      <t>キュウ</t>
    </rPh>
    <rPh sb="5" eb="8">
      <t>ヒジカワチョウ</t>
    </rPh>
    <rPh sb="9" eb="10">
      <t>キュウ</t>
    </rPh>
    <rPh sb="10" eb="13">
      <t>カワベムラ</t>
    </rPh>
    <rPh sb="14" eb="15">
      <t>カギ</t>
    </rPh>
    <phoneticPr fontId="5"/>
  </si>
  <si>
    <t>オオズシ(キュウヒジカワチョウ、キュウカワベムラニカギル。)</t>
  </si>
  <si>
    <t>上島町</t>
    <rPh sb="0" eb="3">
      <t>カミジマチョウ</t>
    </rPh>
    <phoneticPr fontId="5"/>
  </si>
  <si>
    <t>カミジマチョウ</t>
  </si>
  <si>
    <t>鬼北町</t>
    <rPh sb="0" eb="3">
      <t>キホクチョウ</t>
    </rPh>
    <phoneticPr fontId="5"/>
  </si>
  <si>
    <t>久万高原町</t>
    <rPh sb="0" eb="5">
      <t>クマコウゲンチョウ</t>
    </rPh>
    <phoneticPr fontId="5"/>
  </si>
  <si>
    <t>クマコウゲンチョウ</t>
  </si>
  <si>
    <t>西条市</t>
    <rPh sb="0" eb="3">
      <t>サイジョウシ</t>
    </rPh>
    <phoneticPr fontId="5"/>
  </si>
  <si>
    <t>サイジョウシ</t>
  </si>
  <si>
    <t>四国中央市</t>
    <rPh sb="0" eb="5">
      <t>シコクチュウオウシ</t>
    </rPh>
    <phoneticPr fontId="5"/>
  </si>
  <si>
    <t>シコクチュウオウシ</t>
  </si>
  <si>
    <t>西予市</t>
    <rPh sb="0" eb="3">
      <t>セイヨシ</t>
    </rPh>
    <phoneticPr fontId="5"/>
  </si>
  <si>
    <t>セイヨシ</t>
  </si>
  <si>
    <t>東温市</t>
    <rPh sb="0" eb="3">
      <t>トウオンシ</t>
    </rPh>
    <phoneticPr fontId="5"/>
  </si>
  <si>
    <t>トウオンシ</t>
  </si>
  <si>
    <t>砥部町</t>
    <rPh sb="0" eb="3">
      <t>トベチョウ</t>
    </rPh>
    <phoneticPr fontId="5"/>
  </si>
  <si>
    <t>トベチョウ</t>
  </si>
  <si>
    <t>新居浜市（旧新居浜市に限る。）</t>
    <rPh sb="0" eb="4">
      <t>ニイハマシ</t>
    </rPh>
    <rPh sb="5" eb="6">
      <t>キュウ</t>
    </rPh>
    <rPh sb="6" eb="10">
      <t>ニイハマシ</t>
    </rPh>
    <rPh sb="11" eb="12">
      <t>カギ</t>
    </rPh>
    <phoneticPr fontId="5"/>
  </si>
  <si>
    <t>ニイハマシ（キュウニイハマシニカギル。）</t>
  </si>
  <si>
    <t>新居浜市（旧別子山村に限る。）</t>
    <rPh sb="0" eb="4">
      <t>ニイハマシ</t>
    </rPh>
    <rPh sb="5" eb="6">
      <t>キュウ</t>
    </rPh>
    <rPh sb="6" eb="10">
      <t>ベッシヤマムラ</t>
    </rPh>
    <rPh sb="11" eb="12">
      <t>カギ</t>
    </rPh>
    <phoneticPr fontId="5"/>
  </si>
  <si>
    <t>ニイハマシ（キュウベッシヤマムラニカギル。）</t>
  </si>
  <si>
    <t>松野町</t>
    <rPh sb="0" eb="3">
      <t>マツノチョウ</t>
    </rPh>
    <phoneticPr fontId="5"/>
  </si>
  <si>
    <t>マツノチョウ</t>
  </si>
  <si>
    <t>松山市</t>
    <rPh sb="0" eb="3">
      <t>マツヤマシ</t>
    </rPh>
    <phoneticPr fontId="5"/>
  </si>
  <si>
    <t>マツヤマシ</t>
  </si>
  <si>
    <t>八幡浜市</t>
    <rPh sb="0" eb="4">
      <t>ヤワタハマシ</t>
    </rPh>
    <phoneticPr fontId="5"/>
  </si>
  <si>
    <t>ヤワタハマシ</t>
  </si>
  <si>
    <t>高知県</t>
  </si>
  <si>
    <t>安芸市</t>
    <rPh sb="0" eb="3">
      <t>アキシ</t>
    </rPh>
    <phoneticPr fontId="5"/>
  </si>
  <si>
    <t>アキシ</t>
  </si>
  <si>
    <t>いの町（旧伊野町に限る。）</t>
    <rPh sb="2" eb="3">
      <t>チョウ</t>
    </rPh>
    <rPh sb="4" eb="5">
      <t>キュウ</t>
    </rPh>
    <rPh sb="5" eb="8">
      <t>イノチョウ</t>
    </rPh>
    <rPh sb="9" eb="10">
      <t>カギ</t>
    </rPh>
    <phoneticPr fontId="5"/>
  </si>
  <si>
    <t>イノチョウ（キュウイノチョウニカギル。）</t>
  </si>
  <si>
    <t>いの町(旧吾北村に限る。)</t>
    <rPh sb="2" eb="3">
      <t>チョウ</t>
    </rPh>
    <rPh sb="4" eb="5">
      <t>キュウ</t>
    </rPh>
    <rPh sb="5" eb="8">
      <t>ゴホクソン</t>
    </rPh>
    <rPh sb="9" eb="10">
      <t>カギ</t>
    </rPh>
    <phoneticPr fontId="5"/>
  </si>
  <si>
    <t>イノチョウ(キュウゴホクソンニカギル。)</t>
  </si>
  <si>
    <t>いの町(旧本川村に限る。)</t>
    <rPh sb="2" eb="3">
      <t>チョウ</t>
    </rPh>
    <rPh sb="4" eb="5">
      <t>キュウ</t>
    </rPh>
    <rPh sb="5" eb="7">
      <t>モトカワ</t>
    </rPh>
    <rPh sb="7" eb="8">
      <t>ムラ</t>
    </rPh>
    <rPh sb="9" eb="10">
      <t>カギ</t>
    </rPh>
    <phoneticPr fontId="5"/>
  </si>
  <si>
    <t>イノチョウ(キュウモトカワムラニカギル。)</t>
  </si>
  <si>
    <t>馬路村</t>
    <rPh sb="0" eb="3">
      <t>ウマジムラ</t>
    </rPh>
    <phoneticPr fontId="5"/>
  </si>
  <si>
    <t>ウマジムラ</t>
  </si>
  <si>
    <t>大川村</t>
    <rPh sb="0" eb="2">
      <t>オオカワ</t>
    </rPh>
    <rPh sb="2" eb="3">
      <t>ムラ</t>
    </rPh>
    <phoneticPr fontId="5"/>
  </si>
  <si>
    <t>オオカワムラ</t>
  </si>
  <si>
    <t>大月町</t>
    <rPh sb="0" eb="3">
      <t>オオツキチョウ</t>
    </rPh>
    <phoneticPr fontId="5"/>
  </si>
  <si>
    <t>オオツキチョウ</t>
  </si>
  <si>
    <t>大豊町</t>
    <rPh sb="0" eb="3">
      <t>オオトヨチョウ</t>
    </rPh>
    <phoneticPr fontId="5"/>
  </si>
  <si>
    <t>オオトヨチョウ</t>
  </si>
  <si>
    <t>越知町</t>
    <rPh sb="0" eb="3">
      <t>オチチョウ</t>
    </rPh>
    <phoneticPr fontId="5"/>
  </si>
  <si>
    <t>オチチョウ</t>
  </si>
  <si>
    <t>香美市</t>
    <rPh sb="0" eb="3">
      <t>カミシ</t>
    </rPh>
    <phoneticPr fontId="5"/>
  </si>
  <si>
    <t>カミシ</t>
  </si>
  <si>
    <t>北川村</t>
    <rPh sb="0" eb="1">
      <t>キタ</t>
    </rPh>
    <rPh sb="1" eb="3">
      <t>カワムラ</t>
    </rPh>
    <phoneticPr fontId="5"/>
  </si>
  <si>
    <t>キタカワムラ</t>
  </si>
  <si>
    <t>黒潮町</t>
    <rPh sb="0" eb="3">
      <t>クロシオチョウ</t>
    </rPh>
    <phoneticPr fontId="5"/>
  </si>
  <si>
    <t>クロシオチョウ</t>
  </si>
  <si>
    <t>芸西村</t>
    <rPh sb="0" eb="3">
      <t>ゲイセイムラ</t>
    </rPh>
    <phoneticPr fontId="5"/>
  </si>
  <si>
    <t>ゲイセイムラ</t>
  </si>
  <si>
    <t>高知市</t>
    <rPh sb="0" eb="3">
      <t>コウチシ</t>
    </rPh>
    <phoneticPr fontId="5"/>
  </si>
  <si>
    <t>コウチシ</t>
  </si>
  <si>
    <t>香南市</t>
    <rPh sb="0" eb="3">
      <t>コウナンシ</t>
    </rPh>
    <phoneticPr fontId="5"/>
  </si>
  <si>
    <t>佐川町</t>
    <rPh sb="0" eb="3">
      <t>サカワチョウ</t>
    </rPh>
    <phoneticPr fontId="5"/>
  </si>
  <si>
    <t>サカワチョウ</t>
  </si>
  <si>
    <t>四万十市</t>
    <rPh sb="0" eb="4">
      <t>シマントシ</t>
    </rPh>
    <phoneticPr fontId="5"/>
  </si>
  <si>
    <t>シマントシ</t>
  </si>
  <si>
    <t>宿毛市</t>
    <rPh sb="0" eb="3">
      <t>スクモシ</t>
    </rPh>
    <phoneticPr fontId="5"/>
  </si>
  <si>
    <t>スクモシ</t>
  </si>
  <si>
    <t>須崎市</t>
    <rPh sb="0" eb="3">
      <t>スサキシ</t>
    </rPh>
    <phoneticPr fontId="5"/>
  </si>
  <si>
    <t>スサキシ</t>
  </si>
  <si>
    <t>田野町</t>
    <rPh sb="0" eb="3">
      <t>タノチョウ</t>
    </rPh>
    <phoneticPr fontId="5"/>
  </si>
  <si>
    <t>タノチョウ</t>
  </si>
  <si>
    <t>津野町</t>
    <rPh sb="0" eb="2">
      <t>ツノ</t>
    </rPh>
    <rPh sb="2" eb="3">
      <t>マチ</t>
    </rPh>
    <phoneticPr fontId="5"/>
  </si>
  <si>
    <t>ツノマチ</t>
  </si>
  <si>
    <t>東洋町</t>
    <rPh sb="0" eb="2">
      <t>トウヨウ</t>
    </rPh>
    <rPh sb="2" eb="3">
      <t>チョウ</t>
    </rPh>
    <phoneticPr fontId="5"/>
  </si>
  <si>
    <t>トウヨウチョウ</t>
  </si>
  <si>
    <t>土佐市</t>
    <rPh sb="0" eb="3">
      <t>トサシ</t>
    </rPh>
    <phoneticPr fontId="5"/>
  </si>
  <si>
    <t>トサシ</t>
  </si>
  <si>
    <t>土佐清水市</t>
    <rPh sb="0" eb="5">
      <t>トサシミズシ</t>
    </rPh>
    <phoneticPr fontId="5"/>
  </si>
  <si>
    <t>トサシミズシ</t>
  </si>
  <si>
    <t>土佐町</t>
    <rPh sb="0" eb="2">
      <t>トサ</t>
    </rPh>
    <rPh sb="2" eb="3">
      <t>チョウ</t>
    </rPh>
    <phoneticPr fontId="5"/>
  </si>
  <si>
    <t>トサチョウ</t>
  </si>
  <si>
    <t>中土佐町</t>
    <rPh sb="0" eb="4">
      <t>ナカトサチョウ</t>
    </rPh>
    <phoneticPr fontId="5"/>
  </si>
  <si>
    <t>ナカトサチョウ</t>
  </si>
  <si>
    <t>奈半利町</t>
    <rPh sb="0" eb="4">
      <t>ナハリチョウ</t>
    </rPh>
    <phoneticPr fontId="5"/>
  </si>
  <si>
    <t>ナハリチョウ</t>
  </si>
  <si>
    <t>南国市</t>
    <rPh sb="0" eb="3">
      <t>ナンコクシ</t>
    </rPh>
    <phoneticPr fontId="5"/>
  </si>
  <si>
    <t>ナンコクシ</t>
  </si>
  <si>
    <t>仁淀川町</t>
    <rPh sb="0" eb="4">
      <t>ニヨドガワチョウ</t>
    </rPh>
    <phoneticPr fontId="5"/>
  </si>
  <si>
    <t>ニヨドガワチョウ</t>
  </si>
  <si>
    <t>日高村</t>
    <rPh sb="0" eb="1">
      <t>ヒ</t>
    </rPh>
    <rPh sb="1" eb="3">
      <t>タカムラ</t>
    </rPh>
    <phoneticPr fontId="5"/>
  </si>
  <si>
    <t>ヒタカムラ</t>
  </si>
  <si>
    <t>三原村</t>
    <rPh sb="0" eb="2">
      <t>ミハラ</t>
    </rPh>
    <rPh sb="2" eb="3">
      <t>ムラ</t>
    </rPh>
    <phoneticPr fontId="5"/>
  </si>
  <si>
    <t>ミハラムラ</t>
  </si>
  <si>
    <t>室戸市</t>
    <rPh sb="0" eb="3">
      <t>ムロトシ</t>
    </rPh>
    <phoneticPr fontId="5"/>
  </si>
  <si>
    <t>ムロトシ</t>
  </si>
  <si>
    <t>本山町</t>
    <rPh sb="0" eb="3">
      <t>モトヤマチョウ</t>
    </rPh>
    <phoneticPr fontId="5"/>
  </si>
  <si>
    <t>モトヤマチョウ</t>
  </si>
  <si>
    <t>安田町</t>
    <rPh sb="0" eb="3">
      <t>ヤスダチョウ</t>
    </rPh>
    <phoneticPr fontId="5"/>
  </si>
  <si>
    <t>ヤスダチョウ</t>
  </si>
  <si>
    <t>梼原町</t>
    <rPh sb="0" eb="3">
      <t>ユスハラチョウ</t>
    </rPh>
    <phoneticPr fontId="5"/>
  </si>
  <si>
    <t>ユスハラチョウ</t>
  </si>
  <si>
    <t>四万十町</t>
    <rPh sb="0" eb="4">
      <t>ヨンマンジュウチョウ</t>
    </rPh>
    <phoneticPr fontId="5"/>
  </si>
  <si>
    <t>ヨンマンジュウチョウ</t>
  </si>
  <si>
    <t>福岡県</t>
  </si>
  <si>
    <t>赤村</t>
    <rPh sb="0" eb="1">
      <t>アカ</t>
    </rPh>
    <rPh sb="1" eb="2">
      <t>ムラ</t>
    </rPh>
    <phoneticPr fontId="5"/>
  </si>
  <si>
    <t>アカムラ</t>
  </si>
  <si>
    <t>朝倉市</t>
    <rPh sb="0" eb="3">
      <t>アサクラシ</t>
    </rPh>
    <phoneticPr fontId="5"/>
  </si>
  <si>
    <t>アサクラシ</t>
  </si>
  <si>
    <t>芦屋町</t>
    <rPh sb="0" eb="3">
      <t>アシヤマチ</t>
    </rPh>
    <phoneticPr fontId="5"/>
  </si>
  <si>
    <t>アシヤマチ</t>
  </si>
  <si>
    <t>飯塚市</t>
    <rPh sb="0" eb="3">
      <t>イイヅカシ</t>
    </rPh>
    <phoneticPr fontId="5"/>
  </si>
  <si>
    <t>イイヅカシ</t>
  </si>
  <si>
    <t>糸島市</t>
    <rPh sb="0" eb="2">
      <t>イトシマ</t>
    </rPh>
    <rPh sb="2" eb="3">
      <t>シ</t>
    </rPh>
    <phoneticPr fontId="5"/>
  </si>
  <si>
    <t>イトシマシ</t>
  </si>
  <si>
    <t>糸田町</t>
    <rPh sb="0" eb="3">
      <t>イトダマチ</t>
    </rPh>
    <phoneticPr fontId="5"/>
  </si>
  <si>
    <t>イトダマチ</t>
  </si>
  <si>
    <t>うきは市</t>
    <rPh sb="3" eb="4">
      <t>シ</t>
    </rPh>
    <phoneticPr fontId="5"/>
  </si>
  <si>
    <t>ウキハシ</t>
  </si>
  <si>
    <t>宇美町</t>
    <rPh sb="0" eb="3">
      <t>ウミマチ</t>
    </rPh>
    <phoneticPr fontId="5"/>
  </si>
  <si>
    <t>ウミマチ</t>
  </si>
  <si>
    <t>大川市</t>
    <rPh sb="0" eb="3">
      <t>オオカワシ</t>
    </rPh>
    <phoneticPr fontId="5"/>
  </si>
  <si>
    <t>オオカワシ</t>
  </si>
  <si>
    <t>大任町</t>
    <rPh sb="0" eb="3">
      <t>オオトウマチ</t>
    </rPh>
    <phoneticPr fontId="5"/>
  </si>
  <si>
    <t>オオトウマチ</t>
  </si>
  <si>
    <t>大野城市</t>
    <rPh sb="0" eb="4">
      <t>オオノジョウシ</t>
    </rPh>
    <phoneticPr fontId="5"/>
  </si>
  <si>
    <t>オオノジョウシ</t>
  </si>
  <si>
    <t>大牟田市</t>
    <rPh sb="0" eb="4">
      <t>オオムタシ</t>
    </rPh>
    <phoneticPr fontId="5"/>
  </si>
  <si>
    <t>オオムタシ</t>
  </si>
  <si>
    <t>岡垣町</t>
    <rPh sb="0" eb="3">
      <t>オカガキマチ</t>
    </rPh>
    <phoneticPr fontId="5"/>
  </si>
  <si>
    <t>オカガキマチ</t>
  </si>
  <si>
    <t>小郡市</t>
    <rPh sb="0" eb="3">
      <t>オゴオリシ</t>
    </rPh>
    <phoneticPr fontId="5"/>
  </si>
  <si>
    <t>オゴオリシ</t>
  </si>
  <si>
    <t>遠賀町</t>
    <rPh sb="0" eb="3">
      <t>オンガチョウ</t>
    </rPh>
    <phoneticPr fontId="5"/>
  </si>
  <si>
    <t>オンガチョウ</t>
  </si>
  <si>
    <t>春日市</t>
    <rPh sb="0" eb="3">
      <t>カスガシ</t>
    </rPh>
    <phoneticPr fontId="5"/>
  </si>
  <si>
    <t>カスガシ</t>
  </si>
  <si>
    <t>粕屋町</t>
    <rPh sb="0" eb="3">
      <t>カスヤマチ</t>
    </rPh>
    <phoneticPr fontId="5"/>
  </si>
  <si>
    <t>カスヤマチ</t>
  </si>
  <si>
    <t>嘉麻市</t>
    <rPh sb="0" eb="3">
      <t>カマシ</t>
    </rPh>
    <phoneticPr fontId="5"/>
  </si>
  <si>
    <t>カマシ</t>
  </si>
  <si>
    <t>苅田町</t>
    <rPh sb="0" eb="3">
      <t>カンダマチ</t>
    </rPh>
    <phoneticPr fontId="5"/>
  </si>
  <si>
    <t>カンダマチ</t>
  </si>
  <si>
    <t>北九州市</t>
    <rPh sb="0" eb="4">
      <t>キタキュウシュウシ</t>
    </rPh>
    <phoneticPr fontId="5"/>
  </si>
  <si>
    <t>キタキュウシュウシ</t>
  </si>
  <si>
    <t>鞍手町</t>
    <rPh sb="0" eb="3">
      <t>クラテマチ</t>
    </rPh>
    <phoneticPr fontId="5"/>
  </si>
  <si>
    <t>クラテマチ</t>
  </si>
  <si>
    <t>久留米市</t>
    <rPh sb="0" eb="4">
      <t>クルメシ</t>
    </rPh>
    <phoneticPr fontId="5"/>
  </si>
  <si>
    <t>クルメシ</t>
  </si>
  <si>
    <t>桂川町</t>
    <rPh sb="0" eb="3">
      <t>ケイセンマチ</t>
    </rPh>
    <phoneticPr fontId="5"/>
  </si>
  <si>
    <t>ケイセンマチ</t>
  </si>
  <si>
    <t>古賀市</t>
    <rPh sb="0" eb="3">
      <t>コガシ</t>
    </rPh>
    <phoneticPr fontId="5"/>
  </si>
  <si>
    <t>小竹町</t>
    <rPh sb="0" eb="3">
      <t>コタケマチ</t>
    </rPh>
    <phoneticPr fontId="5"/>
  </si>
  <si>
    <t>コタケマチ</t>
  </si>
  <si>
    <t>篠栗町</t>
    <rPh sb="0" eb="3">
      <t>ササグリマチ</t>
    </rPh>
    <phoneticPr fontId="5"/>
  </si>
  <si>
    <t>ササグリマチ</t>
  </si>
  <si>
    <t>志免町</t>
    <rPh sb="0" eb="3">
      <t>シメマチ</t>
    </rPh>
    <phoneticPr fontId="5"/>
  </si>
  <si>
    <t>シメマチ</t>
  </si>
  <si>
    <t>上毛町</t>
    <rPh sb="0" eb="2">
      <t>ジョウモウ</t>
    </rPh>
    <rPh sb="2" eb="3">
      <t>マチ</t>
    </rPh>
    <phoneticPr fontId="5"/>
  </si>
  <si>
    <t>ジョウモウマチ</t>
  </si>
  <si>
    <t>新宮町</t>
    <rPh sb="0" eb="2">
      <t>シングウ</t>
    </rPh>
    <rPh sb="2" eb="3">
      <t>チョウ</t>
    </rPh>
    <phoneticPr fontId="5"/>
  </si>
  <si>
    <t>シングウチョウ</t>
  </si>
  <si>
    <t>須恵町</t>
    <rPh sb="0" eb="3">
      <t>スエマチ</t>
    </rPh>
    <phoneticPr fontId="5"/>
  </si>
  <si>
    <t>スエマチ</t>
  </si>
  <si>
    <t>添田町</t>
    <rPh sb="0" eb="3">
      <t>ソエダマチ</t>
    </rPh>
    <phoneticPr fontId="5"/>
  </si>
  <si>
    <t>ソエダマチ</t>
  </si>
  <si>
    <t>大木町</t>
    <rPh sb="0" eb="3">
      <t>ダイギチョウ</t>
    </rPh>
    <phoneticPr fontId="5"/>
  </si>
  <si>
    <t>ダイギチョウ</t>
  </si>
  <si>
    <t>田川市</t>
    <rPh sb="0" eb="3">
      <t>タガワシ</t>
    </rPh>
    <phoneticPr fontId="5"/>
  </si>
  <si>
    <t>タガワシ</t>
  </si>
  <si>
    <t>太宰府市</t>
    <rPh sb="0" eb="4">
      <t>ダザイフシ</t>
    </rPh>
    <phoneticPr fontId="5"/>
  </si>
  <si>
    <t>ダザイフシ</t>
  </si>
  <si>
    <t>大刀洗町</t>
    <rPh sb="0" eb="4">
      <t>タチアライマチ</t>
    </rPh>
    <phoneticPr fontId="5"/>
  </si>
  <si>
    <t>タチアライマチ</t>
  </si>
  <si>
    <t>筑後市</t>
    <rPh sb="0" eb="3">
      <t>チクゴシ</t>
    </rPh>
    <phoneticPr fontId="5"/>
  </si>
  <si>
    <t>チクゴシ</t>
  </si>
  <si>
    <t>筑紫野市</t>
    <rPh sb="0" eb="4">
      <t>チクシノシ</t>
    </rPh>
    <phoneticPr fontId="5"/>
  </si>
  <si>
    <t>チクシノシ</t>
  </si>
  <si>
    <t>築上町</t>
    <rPh sb="0" eb="2">
      <t>チクジョウ</t>
    </rPh>
    <rPh sb="2" eb="3">
      <t>チョウ</t>
    </rPh>
    <phoneticPr fontId="5"/>
  </si>
  <si>
    <t>チクジョウチョウ</t>
  </si>
  <si>
    <t>筑前町</t>
    <rPh sb="0" eb="3">
      <t>チクゼンマチ</t>
    </rPh>
    <phoneticPr fontId="5"/>
  </si>
  <si>
    <t>チクゼンマチ</t>
  </si>
  <si>
    <t>東峰村</t>
    <rPh sb="0" eb="3">
      <t>トウホウムラ</t>
    </rPh>
    <phoneticPr fontId="5"/>
  </si>
  <si>
    <t>トウホウムラ</t>
  </si>
  <si>
    <t>那珂川市</t>
    <rPh sb="0" eb="2">
      <t>ナカ</t>
    </rPh>
    <rPh sb="2" eb="3">
      <t>ガワ</t>
    </rPh>
    <rPh sb="3" eb="4">
      <t>シ</t>
    </rPh>
    <phoneticPr fontId="5"/>
  </si>
  <si>
    <t>ナカガワシ</t>
  </si>
  <si>
    <t>中間市</t>
    <rPh sb="0" eb="3">
      <t>ナカマシ</t>
    </rPh>
    <phoneticPr fontId="5"/>
  </si>
  <si>
    <t>ナカマシ</t>
  </si>
  <si>
    <t>直方市</t>
    <rPh sb="0" eb="3">
      <t>ノオガタシ</t>
    </rPh>
    <phoneticPr fontId="5"/>
  </si>
  <si>
    <t>ノオガタシ</t>
  </si>
  <si>
    <t>久山町</t>
    <rPh sb="0" eb="3">
      <t>ヒサヤママチ</t>
    </rPh>
    <phoneticPr fontId="5"/>
  </si>
  <si>
    <t>ヒサヤママチ</t>
  </si>
  <si>
    <t>福岡市</t>
    <rPh sb="0" eb="3">
      <t>フクオカシ</t>
    </rPh>
    <phoneticPr fontId="5"/>
  </si>
  <si>
    <t>フクオカシ</t>
  </si>
  <si>
    <t>福智町</t>
    <rPh sb="0" eb="3">
      <t>フクチマチ</t>
    </rPh>
    <phoneticPr fontId="5"/>
  </si>
  <si>
    <t>フクチマチ</t>
  </si>
  <si>
    <t>福津市</t>
    <rPh sb="0" eb="3">
      <t>フクツシ</t>
    </rPh>
    <phoneticPr fontId="5"/>
  </si>
  <si>
    <t>フクツシ</t>
  </si>
  <si>
    <t>豊前市</t>
    <rPh sb="0" eb="3">
      <t>ブゼンシ</t>
    </rPh>
    <phoneticPr fontId="5"/>
  </si>
  <si>
    <t>ブゼンシ</t>
  </si>
  <si>
    <t>水巻町</t>
    <rPh sb="0" eb="3">
      <t>ミズマキマチ</t>
    </rPh>
    <phoneticPr fontId="5"/>
  </si>
  <si>
    <t>ミズマキマチ</t>
  </si>
  <si>
    <t>みやこ町</t>
    <rPh sb="3" eb="4">
      <t>マチ</t>
    </rPh>
    <phoneticPr fontId="5"/>
  </si>
  <si>
    <t>ミヤコマチ</t>
  </si>
  <si>
    <t>みやま市</t>
    <rPh sb="3" eb="4">
      <t>シ</t>
    </rPh>
    <phoneticPr fontId="5"/>
  </si>
  <si>
    <t>ミヤマシ</t>
  </si>
  <si>
    <t>宮若市</t>
    <rPh sb="0" eb="3">
      <t>ミヤワカシ</t>
    </rPh>
    <phoneticPr fontId="5"/>
  </si>
  <si>
    <t>ミヤワカシ</t>
  </si>
  <si>
    <t>宗像市</t>
    <rPh sb="0" eb="3">
      <t>ムナカタシ</t>
    </rPh>
    <phoneticPr fontId="5"/>
  </si>
  <si>
    <t>ムナカタシ</t>
  </si>
  <si>
    <t>柳川市</t>
    <rPh sb="0" eb="3">
      <t>ヤナガワシ</t>
    </rPh>
    <phoneticPr fontId="5"/>
  </si>
  <si>
    <t>ヤナガワシ</t>
  </si>
  <si>
    <t>八女市</t>
    <rPh sb="0" eb="3">
      <t>ヤメシ</t>
    </rPh>
    <phoneticPr fontId="5"/>
  </si>
  <si>
    <t>ヤメシ</t>
  </si>
  <si>
    <t>行橋市</t>
    <rPh sb="0" eb="3">
      <t>ユクハシシ</t>
    </rPh>
    <phoneticPr fontId="5"/>
  </si>
  <si>
    <t>ユクハシシ</t>
  </si>
  <si>
    <t>吉富町</t>
    <rPh sb="0" eb="3">
      <t>ヨシトミマチ</t>
    </rPh>
    <phoneticPr fontId="5"/>
  </si>
  <si>
    <t>ヨシトミマチ</t>
  </si>
  <si>
    <t>佐賀県</t>
  </si>
  <si>
    <t>長崎県</t>
  </si>
  <si>
    <t>壱岐市</t>
    <rPh sb="0" eb="3">
      <t>イキシ</t>
    </rPh>
    <phoneticPr fontId="5"/>
  </si>
  <si>
    <t>イキシ</t>
  </si>
  <si>
    <t>諫早市</t>
    <rPh sb="0" eb="3">
      <t>イサハヤシ</t>
    </rPh>
    <phoneticPr fontId="5"/>
  </si>
  <si>
    <t>イサハヤシ</t>
  </si>
  <si>
    <t>雲仙市（旧小浜町に限る。）</t>
    <rPh sb="0" eb="3">
      <t>ウンゼンシ</t>
    </rPh>
    <rPh sb="4" eb="5">
      <t>キュウ</t>
    </rPh>
    <rPh sb="5" eb="7">
      <t>オバマ</t>
    </rPh>
    <rPh sb="7" eb="8">
      <t>チョウ</t>
    </rPh>
    <rPh sb="9" eb="10">
      <t>カギ</t>
    </rPh>
    <phoneticPr fontId="5"/>
  </si>
  <si>
    <t>ウンゼンシ（キュウオバマチョウニカギル。）</t>
  </si>
  <si>
    <t>雲仙市（旧小浜町を除く。）</t>
    <rPh sb="0" eb="3">
      <t>ウンゼンシ</t>
    </rPh>
    <rPh sb="4" eb="5">
      <t>キュウ</t>
    </rPh>
    <rPh sb="5" eb="7">
      <t>オバマ</t>
    </rPh>
    <rPh sb="7" eb="8">
      <t>チョウ</t>
    </rPh>
    <rPh sb="9" eb="10">
      <t>ノゾ</t>
    </rPh>
    <phoneticPr fontId="5"/>
  </si>
  <si>
    <t>ウンゼンシ（キュウオバマチョウヲノゾク。）</t>
  </si>
  <si>
    <t>大村市</t>
    <rPh sb="0" eb="3">
      <t>オオムラシ</t>
    </rPh>
    <phoneticPr fontId="5"/>
  </si>
  <si>
    <t>オオムラシ</t>
  </si>
  <si>
    <t>小値賀町</t>
    <rPh sb="0" eb="4">
      <t>オヂカチョウ</t>
    </rPh>
    <phoneticPr fontId="5"/>
  </si>
  <si>
    <t>オヂカチョウ</t>
  </si>
  <si>
    <t>川棚町</t>
    <rPh sb="0" eb="3">
      <t>カワタナチョウ</t>
    </rPh>
    <phoneticPr fontId="5"/>
  </si>
  <si>
    <t>カワタナチョウ</t>
  </si>
  <si>
    <t>五島市</t>
    <rPh sb="0" eb="3">
      <t>ゴトウシ</t>
    </rPh>
    <phoneticPr fontId="5"/>
  </si>
  <si>
    <t>ゴトウシ</t>
  </si>
  <si>
    <t>佐々町</t>
    <rPh sb="0" eb="3">
      <t>サザチョウ</t>
    </rPh>
    <phoneticPr fontId="5"/>
  </si>
  <si>
    <t>サザチョウ</t>
  </si>
  <si>
    <t>佐世保市</t>
    <rPh sb="0" eb="4">
      <t>サセボシ</t>
    </rPh>
    <phoneticPr fontId="5"/>
  </si>
  <si>
    <t>サセボシ</t>
  </si>
  <si>
    <t>島原市</t>
    <rPh sb="0" eb="3">
      <t>シマバラシ</t>
    </rPh>
    <phoneticPr fontId="5"/>
  </si>
  <si>
    <t>シマバラシ</t>
  </si>
  <si>
    <t>新上五島町</t>
    <rPh sb="0" eb="5">
      <t>シンカミゴトウチョウ</t>
    </rPh>
    <phoneticPr fontId="5"/>
  </si>
  <si>
    <t>シンカミゴトウチョウ</t>
  </si>
  <si>
    <t>対馬市</t>
    <rPh sb="0" eb="2">
      <t>ツシマ</t>
    </rPh>
    <rPh sb="2" eb="3">
      <t>シ</t>
    </rPh>
    <phoneticPr fontId="5"/>
  </si>
  <si>
    <t>時津町</t>
    <rPh sb="0" eb="3">
      <t>トギツチョウ</t>
    </rPh>
    <phoneticPr fontId="5"/>
  </si>
  <si>
    <t>トギツチョウ</t>
  </si>
  <si>
    <t>長崎市</t>
    <rPh sb="0" eb="3">
      <t>ナガサキシ</t>
    </rPh>
    <phoneticPr fontId="5"/>
  </si>
  <si>
    <t>ナガサキシ</t>
  </si>
  <si>
    <t>長与町</t>
    <rPh sb="0" eb="3">
      <t>ナガヨチョウ</t>
    </rPh>
    <phoneticPr fontId="5"/>
  </si>
  <si>
    <t>ナガヨチョウ</t>
  </si>
  <si>
    <t>西海市</t>
    <rPh sb="0" eb="2">
      <t>ニシウミ</t>
    </rPh>
    <rPh sb="2" eb="3">
      <t>シ</t>
    </rPh>
    <phoneticPr fontId="5"/>
  </si>
  <si>
    <t>ニシウミシ</t>
  </si>
  <si>
    <t>波佐見町</t>
    <rPh sb="0" eb="4">
      <t>ハサミチョウ</t>
    </rPh>
    <phoneticPr fontId="5"/>
  </si>
  <si>
    <t>ハサミチョウ</t>
  </si>
  <si>
    <t>東彼杵町</t>
    <rPh sb="0" eb="4">
      <t>ヒガシソノギチョウ</t>
    </rPh>
    <phoneticPr fontId="5"/>
  </si>
  <si>
    <t>ヒガシソノギチョウ</t>
  </si>
  <si>
    <t>平戸市</t>
    <rPh sb="0" eb="3">
      <t>ヒラドシ</t>
    </rPh>
    <phoneticPr fontId="5"/>
  </si>
  <si>
    <t>ヒラドシ</t>
  </si>
  <si>
    <t>松浦市</t>
    <rPh sb="0" eb="3">
      <t>マツウラシ</t>
    </rPh>
    <phoneticPr fontId="5"/>
  </si>
  <si>
    <t>マツウラシ</t>
  </si>
  <si>
    <t>南島原市</t>
    <rPh sb="0" eb="4">
      <t>ミナミシマバラシ</t>
    </rPh>
    <phoneticPr fontId="5"/>
  </si>
  <si>
    <t>ミナミシマバラシ</t>
  </si>
  <si>
    <t>熊本県</t>
  </si>
  <si>
    <t>あさぎり町</t>
    <rPh sb="4" eb="5">
      <t>チョウ</t>
    </rPh>
    <phoneticPr fontId="5"/>
  </si>
  <si>
    <t>アサギリチョウ</t>
  </si>
  <si>
    <t>芦北町</t>
    <rPh sb="0" eb="3">
      <t>アシキタマチ</t>
    </rPh>
    <phoneticPr fontId="5"/>
  </si>
  <si>
    <t>アシキタマチ</t>
  </si>
  <si>
    <t>阿蘇市</t>
    <rPh sb="0" eb="3">
      <t>アソシ</t>
    </rPh>
    <phoneticPr fontId="5"/>
  </si>
  <si>
    <t>アソシ</t>
  </si>
  <si>
    <t>天草市</t>
    <rPh sb="0" eb="3">
      <t>アマクサシ</t>
    </rPh>
    <phoneticPr fontId="5"/>
  </si>
  <si>
    <t>アマクサシ</t>
  </si>
  <si>
    <t>荒尾市</t>
    <rPh sb="0" eb="3">
      <t>アラオシ</t>
    </rPh>
    <phoneticPr fontId="5"/>
  </si>
  <si>
    <t>アラオシ</t>
  </si>
  <si>
    <t>五木村</t>
    <rPh sb="0" eb="2">
      <t>イツキ</t>
    </rPh>
    <rPh sb="2" eb="3">
      <t>ムラ</t>
    </rPh>
    <phoneticPr fontId="5"/>
  </si>
  <si>
    <t>イツキムラ</t>
  </si>
  <si>
    <t>宇城市</t>
    <rPh sb="0" eb="3">
      <t>ウキシ</t>
    </rPh>
    <phoneticPr fontId="5"/>
  </si>
  <si>
    <t>ウキシ</t>
  </si>
  <si>
    <t>宇土市</t>
    <rPh sb="0" eb="3">
      <t>ウトシ</t>
    </rPh>
    <phoneticPr fontId="5"/>
  </si>
  <si>
    <t>ウトシ</t>
  </si>
  <si>
    <t>産山村</t>
    <rPh sb="0" eb="3">
      <t>ウブヤマムラ</t>
    </rPh>
    <phoneticPr fontId="5"/>
  </si>
  <si>
    <t>ウブヤマムラ</t>
  </si>
  <si>
    <t>大津町</t>
    <rPh sb="0" eb="3">
      <t>オオツチョウ</t>
    </rPh>
    <phoneticPr fontId="5"/>
  </si>
  <si>
    <t>オオツチョウ</t>
  </si>
  <si>
    <t>嘉島町</t>
    <rPh sb="0" eb="3">
      <t>カシママチ</t>
    </rPh>
    <phoneticPr fontId="5"/>
  </si>
  <si>
    <t>カシママチ</t>
  </si>
  <si>
    <t>和水町</t>
    <rPh sb="0" eb="1">
      <t>カズ</t>
    </rPh>
    <rPh sb="1" eb="3">
      <t>ミズマチ</t>
    </rPh>
    <phoneticPr fontId="5"/>
  </si>
  <si>
    <t>カズミズマチ</t>
  </si>
  <si>
    <t>上天草市</t>
    <rPh sb="0" eb="4">
      <t>カミアマクサシ</t>
    </rPh>
    <phoneticPr fontId="5"/>
  </si>
  <si>
    <t>カミアマクサシ</t>
  </si>
  <si>
    <t>菊池市</t>
    <rPh sb="0" eb="3">
      <t>キクチシ</t>
    </rPh>
    <phoneticPr fontId="5"/>
  </si>
  <si>
    <t>キクチシ</t>
  </si>
  <si>
    <t>菊陽町</t>
    <rPh sb="0" eb="3">
      <t>キクヨウマチ</t>
    </rPh>
    <phoneticPr fontId="5"/>
  </si>
  <si>
    <t>キクヨウマチ</t>
  </si>
  <si>
    <t>玉東町</t>
    <rPh sb="0" eb="3">
      <t>ギョクトウマチ</t>
    </rPh>
    <phoneticPr fontId="5"/>
  </si>
  <si>
    <t>ギョクトウマチ</t>
  </si>
  <si>
    <t>球磨村</t>
    <rPh sb="0" eb="3">
      <t>クマムラ</t>
    </rPh>
    <phoneticPr fontId="5"/>
  </si>
  <si>
    <t>クマムラ</t>
  </si>
  <si>
    <t>熊本市</t>
    <rPh sb="0" eb="3">
      <t>クマモトシ</t>
    </rPh>
    <phoneticPr fontId="5"/>
  </si>
  <si>
    <t>クマモトシ</t>
  </si>
  <si>
    <t>甲佐町</t>
    <rPh sb="0" eb="3">
      <t>コウサマチ</t>
    </rPh>
    <phoneticPr fontId="5"/>
  </si>
  <si>
    <t>コウサマチ</t>
  </si>
  <si>
    <t>合志市</t>
    <rPh sb="0" eb="3">
      <t>コウシシ</t>
    </rPh>
    <phoneticPr fontId="5"/>
  </si>
  <si>
    <t>コウシシ</t>
  </si>
  <si>
    <t>相良村</t>
    <rPh sb="0" eb="2">
      <t>サガラ</t>
    </rPh>
    <rPh sb="2" eb="3">
      <t>ムラ</t>
    </rPh>
    <phoneticPr fontId="5"/>
  </si>
  <si>
    <t>サガラムラ</t>
  </si>
  <si>
    <t>高森町</t>
    <rPh sb="0" eb="3">
      <t>タカモリマチ</t>
    </rPh>
    <phoneticPr fontId="5"/>
  </si>
  <si>
    <t>玉名市</t>
    <rPh sb="0" eb="3">
      <t>タマナシ</t>
    </rPh>
    <phoneticPr fontId="5"/>
  </si>
  <si>
    <t>タマナシ</t>
  </si>
  <si>
    <t>多良木町</t>
    <rPh sb="0" eb="4">
      <t>タラギマチ</t>
    </rPh>
    <phoneticPr fontId="5"/>
  </si>
  <si>
    <t>タラギマチ</t>
  </si>
  <si>
    <t>津奈木町</t>
    <rPh sb="0" eb="4">
      <t>ツナギマチ</t>
    </rPh>
    <phoneticPr fontId="5"/>
  </si>
  <si>
    <t>ツナギマチ</t>
  </si>
  <si>
    <t>長洲町</t>
    <rPh sb="0" eb="3">
      <t>ナガスマチ</t>
    </rPh>
    <phoneticPr fontId="5"/>
  </si>
  <si>
    <t>ナガスマチ</t>
  </si>
  <si>
    <t>南関町</t>
    <rPh sb="0" eb="3">
      <t>ナンカンマチ</t>
    </rPh>
    <phoneticPr fontId="5"/>
  </si>
  <si>
    <t>ナンカンマチ</t>
  </si>
  <si>
    <t>錦町</t>
    <rPh sb="0" eb="2">
      <t>ニシキチョウ</t>
    </rPh>
    <phoneticPr fontId="5"/>
  </si>
  <si>
    <t>ニシキチョウ</t>
  </si>
  <si>
    <t>西原村</t>
    <rPh sb="0" eb="2">
      <t>ニシハラ</t>
    </rPh>
    <rPh sb="2" eb="3">
      <t>ムラ</t>
    </rPh>
    <phoneticPr fontId="5"/>
  </si>
  <si>
    <t>ニシハラムラ</t>
  </si>
  <si>
    <t>氷川町</t>
    <rPh sb="0" eb="3">
      <t>ヒカワチョウ</t>
    </rPh>
    <phoneticPr fontId="5"/>
  </si>
  <si>
    <t>ヒカワチョウ</t>
  </si>
  <si>
    <t>人吉市</t>
    <rPh sb="0" eb="3">
      <t>ヒトヨシシ</t>
    </rPh>
    <phoneticPr fontId="5"/>
  </si>
  <si>
    <t>ヒトヨシシ</t>
  </si>
  <si>
    <t>益城町</t>
    <rPh sb="0" eb="3">
      <t>マシキマチ</t>
    </rPh>
    <phoneticPr fontId="5"/>
  </si>
  <si>
    <t>マシキマチ</t>
  </si>
  <si>
    <t>水上村</t>
    <rPh sb="0" eb="2">
      <t>ミズカミ</t>
    </rPh>
    <rPh sb="2" eb="3">
      <t>ムラ</t>
    </rPh>
    <phoneticPr fontId="5"/>
  </si>
  <si>
    <t>ミズカミムラ</t>
  </si>
  <si>
    <t>水俣市</t>
    <rPh sb="0" eb="3">
      <t>ミナマタシ</t>
    </rPh>
    <phoneticPr fontId="5"/>
  </si>
  <si>
    <t>ミナマタシ</t>
  </si>
  <si>
    <t>南阿蘇村</t>
    <rPh sb="0" eb="4">
      <t>ミナミアソムラ</t>
    </rPh>
    <phoneticPr fontId="5"/>
  </si>
  <si>
    <t>ミナミアソムラ</t>
  </si>
  <si>
    <t>南小国町</t>
    <rPh sb="0" eb="4">
      <t>ミナミオグニマチ</t>
    </rPh>
    <phoneticPr fontId="5"/>
  </si>
  <si>
    <t>ミナミオグニマチ</t>
  </si>
  <si>
    <t>御船町</t>
    <rPh sb="0" eb="3">
      <t>ミフネマチ</t>
    </rPh>
    <phoneticPr fontId="5"/>
  </si>
  <si>
    <t>ミフネマチ</t>
  </si>
  <si>
    <t>八代市（旧泉村に限る。）</t>
    <rPh sb="0" eb="3">
      <t>ヤツシロシ</t>
    </rPh>
    <rPh sb="4" eb="5">
      <t>キュウ</t>
    </rPh>
    <rPh sb="5" eb="6">
      <t>イズミ</t>
    </rPh>
    <rPh sb="6" eb="7">
      <t>ムラ</t>
    </rPh>
    <rPh sb="8" eb="9">
      <t>カギ</t>
    </rPh>
    <phoneticPr fontId="5"/>
  </si>
  <si>
    <t>ヤツシロシ（キュウイズミムラニカギル。）</t>
  </si>
  <si>
    <t>八代市(旧坂本村、旧東陽村に限る。)</t>
    <rPh sb="0" eb="3">
      <t>ヤツシロシ</t>
    </rPh>
    <rPh sb="4" eb="5">
      <t>キュウ</t>
    </rPh>
    <rPh sb="5" eb="8">
      <t>サカモトムラ</t>
    </rPh>
    <rPh sb="9" eb="10">
      <t>キュウ</t>
    </rPh>
    <rPh sb="10" eb="13">
      <t>トウヨウムラ</t>
    </rPh>
    <rPh sb="14" eb="15">
      <t>カギ</t>
    </rPh>
    <phoneticPr fontId="5"/>
  </si>
  <si>
    <t>ヤツシロシ(キュウサカモトムラ、キュウトウヨウムラニカギル。)</t>
  </si>
  <si>
    <t>八代市(旧八代市、旧千丁町、旧鏡町に限る。)</t>
    <rPh sb="0" eb="3">
      <t>ヤツシロシ</t>
    </rPh>
    <rPh sb="4" eb="5">
      <t>キュウ</t>
    </rPh>
    <rPh sb="5" eb="8">
      <t>ヤツシロシ</t>
    </rPh>
    <rPh sb="9" eb="10">
      <t>キュウ</t>
    </rPh>
    <rPh sb="10" eb="13">
      <t>センチョウマチ</t>
    </rPh>
    <rPh sb="14" eb="15">
      <t>キュウ</t>
    </rPh>
    <rPh sb="15" eb="17">
      <t>カガミチョウ</t>
    </rPh>
    <rPh sb="18" eb="19">
      <t>カギ</t>
    </rPh>
    <phoneticPr fontId="5"/>
  </si>
  <si>
    <t>ヤツシロシ(キュウヤツシロシ、キュウセンチョウマチ、キュウカガミチョウニカギル。)</t>
  </si>
  <si>
    <t>山江村</t>
    <rPh sb="0" eb="1">
      <t>ヤマ</t>
    </rPh>
    <rPh sb="1" eb="3">
      <t>エムラ</t>
    </rPh>
    <phoneticPr fontId="5"/>
  </si>
  <si>
    <t>ヤマエムラ</t>
  </si>
  <si>
    <t>山鹿市</t>
    <rPh sb="0" eb="3">
      <t>ヤマガシ</t>
    </rPh>
    <phoneticPr fontId="5"/>
  </si>
  <si>
    <t>ヤマガシ</t>
  </si>
  <si>
    <t>山都町</t>
    <rPh sb="0" eb="2">
      <t>ヤマト</t>
    </rPh>
    <rPh sb="2" eb="3">
      <t>マチ</t>
    </rPh>
    <phoneticPr fontId="5"/>
  </si>
  <si>
    <t>ヤマトマチ</t>
  </si>
  <si>
    <t>湯前町</t>
    <rPh sb="0" eb="3">
      <t>ユノマエマチ</t>
    </rPh>
    <phoneticPr fontId="5"/>
  </si>
  <si>
    <t>ユノマエマチ</t>
  </si>
  <si>
    <t>苓北町</t>
    <rPh sb="0" eb="3">
      <t>レイホクマチ</t>
    </rPh>
    <phoneticPr fontId="5"/>
  </si>
  <si>
    <t>レイホクマチ</t>
  </si>
  <si>
    <t>大分県</t>
  </si>
  <si>
    <t>宇佐市</t>
    <rPh sb="0" eb="3">
      <t>ウサシ</t>
    </rPh>
    <phoneticPr fontId="5"/>
  </si>
  <si>
    <t>ウサシ</t>
  </si>
  <si>
    <t>臼杵市</t>
    <rPh sb="0" eb="3">
      <t>ウスキシ</t>
    </rPh>
    <phoneticPr fontId="5"/>
  </si>
  <si>
    <t>ウスキシ</t>
  </si>
  <si>
    <t>大分市（旧野津原町に限る。）</t>
    <rPh sb="0" eb="3">
      <t>オオイタシ</t>
    </rPh>
    <rPh sb="4" eb="5">
      <t>キュウ</t>
    </rPh>
    <rPh sb="5" eb="9">
      <t>ノツハルマチ</t>
    </rPh>
    <rPh sb="10" eb="11">
      <t>カギ</t>
    </rPh>
    <phoneticPr fontId="5"/>
  </si>
  <si>
    <t>オオイタシ（キュウノツハルマチニカギル。）</t>
  </si>
  <si>
    <t>大分市（旧野津原町を除く。）</t>
    <rPh sb="0" eb="3">
      <t>オオイタシ</t>
    </rPh>
    <rPh sb="4" eb="5">
      <t>キュウ</t>
    </rPh>
    <rPh sb="5" eb="9">
      <t>ノツハルマチ</t>
    </rPh>
    <rPh sb="10" eb="11">
      <t>ノゾ</t>
    </rPh>
    <phoneticPr fontId="5"/>
  </si>
  <si>
    <t>オオイタシ（キュウノツハルマチヲノゾク。）</t>
  </si>
  <si>
    <t>杵築市</t>
    <rPh sb="0" eb="3">
      <t>キツキシ</t>
    </rPh>
    <phoneticPr fontId="5"/>
  </si>
  <si>
    <t>キツキシ</t>
  </si>
  <si>
    <t>玖珠町</t>
    <rPh sb="0" eb="3">
      <t>クスマチ</t>
    </rPh>
    <phoneticPr fontId="5"/>
  </si>
  <si>
    <t>クスマチ</t>
  </si>
  <si>
    <t>国東市</t>
    <rPh sb="0" eb="3">
      <t>クニサキシ</t>
    </rPh>
    <phoneticPr fontId="5"/>
  </si>
  <si>
    <t>クニサキシ</t>
  </si>
  <si>
    <t>九重町</t>
    <rPh sb="0" eb="3">
      <t>ココノエマチ</t>
    </rPh>
    <phoneticPr fontId="5"/>
  </si>
  <si>
    <t>ココノエマチ</t>
  </si>
  <si>
    <t>佐伯市(旧宇目町に限る。)</t>
    <rPh sb="0" eb="3">
      <t>サイキシ</t>
    </rPh>
    <rPh sb="4" eb="5">
      <t>キュウ</t>
    </rPh>
    <rPh sb="5" eb="8">
      <t>ウメマチ</t>
    </rPh>
    <rPh sb="9" eb="10">
      <t>カギ</t>
    </rPh>
    <phoneticPr fontId="5"/>
  </si>
  <si>
    <t>サイキシ(キュウウメマチニカギル。)</t>
  </si>
  <si>
    <t>佐伯市（旧宇目町を除く。）</t>
    <rPh sb="0" eb="3">
      <t>サイキシ</t>
    </rPh>
    <rPh sb="4" eb="5">
      <t>キュウ</t>
    </rPh>
    <rPh sb="5" eb="8">
      <t>ウメマチ</t>
    </rPh>
    <rPh sb="9" eb="10">
      <t>ノゾ</t>
    </rPh>
    <phoneticPr fontId="5"/>
  </si>
  <si>
    <t>サイキシ（キュウウメマチヲノゾク。）</t>
  </si>
  <si>
    <t>竹田市</t>
    <rPh sb="0" eb="3">
      <t>タケタシ</t>
    </rPh>
    <phoneticPr fontId="5"/>
  </si>
  <si>
    <t>タケタシ</t>
  </si>
  <si>
    <t>津久見市</t>
    <rPh sb="0" eb="4">
      <t>ツクミシ</t>
    </rPh>
    <phoneticPr fontId="5"/>
  </si>
  <si>
    <t>ツクミシ</t>
  </si>
  <si>
    <t>中津市</t>
    <rPh sb="0" eb="3">
      <t>ナカツシ</t>
    </rPh>
    <phoneticPr fontId="5"/>
  </si>
  <si>
    <t>ナカツシ</t>
  </si>
  <si>
    <t>日出町</t>
    <rPh sb="0" eb="3">
      <t>ヒジマチ</t>
    </rPh>
    <phoneticPr fontId="5"/>
  </si>
  <si>
    <t>ヒジマチ</t>
  </si>
  <si>
    <t>日田市</t>
    <rPh sb="0" eb="3">
      <t>ヒタシ</t>
    </rPh>
    <phoneticPr fontId="5"/>
  </si>
  <si>
    <t>ヒタシ</t>
  </si>
  <si>
    <t>姫島村</t>
    <rPh sb="0" eb="3">
      <t>ヒメシマムラ</t>
    </rPh>
    <phoneticPr fontId="5"/>
  </si>
  <si>
    <t>ヒメシマムラ</t>
  </si>
  <si>
    <t>豊後大野市</t>
    <rPh sb="0" eb="5">
      <t>ブンゴオオノシ</t>
    </rPh>
    <phoneticPr fontId="5"/>
  </si>
  <si>
    <t>ブンゴオオノシ</t>
  </si>
  <si>
    <t>豊後高田市</t>
    <rPh sb="0" eb="5">
      <t>ブンゴタカダシ</t>
    </rPh>
    <phoneticPr fontId="5"/>
  </si>
  <si>
    <t>ブンゴタカダシ</t>
  </si>
  <si>
    <t>別府市</t>
    <rPh sb="0" eb="3">
      <t>ベップシ</t>
    </rPh>
    <phoneticPr fontId="5"/>
  </si>
  <si>
    <t>ベップシ</t>
  </si>
  <si>
    <t>由布市(旧挾間町、旧庄内町に限る。)</t>
    <rPh sb="0" eb="3">
      <t>ユフシ</t>
    </rPh>
    <rPh sb="4" eb="5">
      <t>キュウ</t>
    </rPh>
    <rPh sb="5" eb="8">
      <t>ハサママチ</t>
    </rPh>
    <rPh sb="9" eb="10">
      <t>キュウ</t>
    </rPh>
    <rPh sb="10" eb="13">
      <t>ショウナイマチ</t>
    </rPh>
    <rPh sb="14" eb="15">
      <t>カギ</t>
    </rPh>
    <phoneticPr fontId="5"/>
  </si>
  <si>
    <t>ユフシ(キュウハサママチ、キュウショウナイマチニカギル。)</t>
  </si>
  <si>
    <t>由布市（旧湯布院町に限る。)</t>
    <rPh sb="0" eb="3">
      <t>ユフシ</t>
    </rPh>
    <rPh sb="4" eb="5">
      <t>キュウ</t>
    </rPh>
    <rPh sb="5" eb="9">
      <t>ユフインチョウ</t>
    </rPh>
    <rPh sb="10" eb="11">
      <t>カギ</t>
    </rPh>
    <phoneticPr fontId="5"/>
  </si>
  <si>
    <t>ユフシ（キュウユフインチョウニカギル。)</t>
  </si>
  <si>
    <t>宮崎県</t>
  </si>
  <si>
    <t>綾町</t>
    <rPh sb="0" eb="2">
      <t>アヤチョウ</t>
    </rPh>
    <phoneticPr fontId="5"/>
  </si>
  <si>
    <t>アヤチョウ</t>
  </si>
  <si>
    <t>えびの市</t>
    <rPh sb="3" eb="4">
      <t>シ</t>
    </rPh>
    <phoneticPr fontId="5"/>
  </si>
  <si>
    <t>エビノシ</t>
  </si>
  <si>
    <t>門川町</t>
    <rPh sb="0" eb="3">
      <t>カドガワチョウ</t>
    </rPh>
    <phoneticPr fontId="5"/>
  </si>
  <si>
    <t>カドガワチョウ</t>
  </si>
  <si>
    <t>川南町</t>
    <rPh sb="0" eb="3">
      <t>カワミナミチョウ</t>
    </rPh>
    <phoneticPr fontId="5"/>
  </si>
  <si>
    <t>カワミナミチョウ</t>
  </si>
  <si>
    <t>木城町</t>
    <rPh sb="0" eb="3">
      <t>キジョウチョウ</t>
    </rPh>
    <phoneticPr fontId="5"/>
  </si>
  <si>
    <t>キジョウチョウ</t>
  </si>
  <si>
    <t>串間市</t>
    <rPh sb="0" eb="3">
      <t>クシマシ</t>
    </rPh>
    <phoneticPr fontId="5"/>
  </si>
  <si>
    <t>クシマシ</t>
  </si>
  <si>
    <t>国富町</t>
    <rPh sb="0" eb="3">
      <t>クニトミチョウ</t>
    </rPh>
    <phoneticPr fontId="5"/>
  </si>
  <si>
    <t>クニトミチョウ</t>
  </si>
  <si>
    <t>五ヶ瀬町</t>
    <rPh sb="0" eb="4">
      <t>ゴカセチョウ</t>
    </rPh>
    <phoneticPr fontId="5"/>
  </si>
  <si>
    <t>ゴカセチョウ</t>
  </si>
  <si>
    <t>小林市</t>
    <rPh sb="0" eb="3">
      <t>コバヤシシ</t>
    </rPh>
    <phoneticPr fontId="5"/>
  </si>
  <si>
    <t>コバヤシシ</t>
  </si>
  <si>
    <t>西都市</t>
    <rPh sb="0" eb="3">
      <t>サイトシ</t>
    </rPh>
    <phoneticPr fontId="5"/>
  </si>
  <si>
    <t>サイトシ</t>
  </si>
  <si>
    <t>椎葉村</t>
    <rPh sb="0" eb="3">
      <t>シイバソン</t>
    </rPh>
    <phoneticPr fontId="5"/>
  </si>
  <si>
    <t>シイバソン</t>
  </si>
  <si>
    <t>新富町</t>
    <rPh sb="0" eb="3">
      <t>シントミチョウ</t>
    </rPh>
    <phoneticPr fontId="5"/>
  </si>
  <si>
    <t>シントミチョウ</t>
  </si>
  <si>
    <t>高千穂町</t>
    <rPh sb="0" eb="4">
      <t>タカチホチョウ</t>
    </rPh>
    <phoneticPr fontId="5"/>
  </si>
  <si>
    <t>タカチホチョウ</t>
  </si>
  <si>
    <t>高鍋町</t>
    <rPh sb="0" eb="3">
      <t>タカナベチョウ</t>
    </rPh>
    <phoneticPr fontId="5"/>
  </si>
  <si>
    <t>タカナベチョウ</t>
  </si>
  <si>
    <t>高原町</t>
    <rPh sb="0" eb="3">
      <t>タカハルチョウ</t>
    </rPh>
    <phoneticPr fontId="5"/>
  </si>
  <si>
    <t>タカハルチョウ</t>
  </si>
  <si>
    <t>都農町</t>
    <rPh sb="0" eb="3">
      <t>ツノチョウ</t>
    </rPh>
    <phoneticPr fontId="5"/>
  </si>
  <si>
    <t>ツノチョウ</t>
  </si>
  <si>
    <t>西米良村</t>
    <rPh sb="0" eb="4">
      <t>ニシメラソン</t>
    </rPh>
    <phoneticPr fontId="5"/>
  </si>
  <si>
    <t>ニシメラソン</t>
  </si>
  <si>
    <t>日南市</t>
    <rPh sb="0" eb="3">
      <t>ニチナンシ</t>
    </rPh>
    <phoneticPr fontId="5"/>
  </si>
  <si>
    <t>ニチナンシ</t>
  </si>
  <si>
    <t>延岡市</t>
    <rPh sb="0" eb="3">
      <t>ノベオカシ</t>
    </rPh>
    <phoneticPr fontId="5"/>
  </si>
  <si>
    <t>ノベオカシ</t>
  </si>
  <si>
    <t>日之影町</t>
    <rPh sb="0" eb="4">
      <t>ヒノカゲチョウ</t>
    </rPh>
    <phoneticPr fontId="5"/>
  </si>
  <si>
    <t>ヒノカゲチョウ</t>
  </si>
  <si>
    <t>日向市</t>
    <rPh sb="0" eb="3">
      <t>ヒュウガシ</t>
    </rPh>
    <phoneticPr fontId="5"/>
  </si>
  <si>
    <t>ヒュウガシ</t>
  </si>
  <si>
    <t>三股町</t>
    <rPh sb="0" eb="3">
      <t>ミマタチョウ</t>
    </rPh>
    <phoneticPr fontId="5"/>
  </si>
  <si>
    <t>ミマタチョウ</t>
  </si>
  <si>
    <t>都城市</t>
    <rPh sb="0" eb="3">
      <t>ミヤコノジョウシ</t>
    </rPh>
    <phoneticPr fontId="5"/>
  </si>
  <si>
    <t>ミヤコノジョウシ</t>
  </si>
  <si>
    <t>宮崎市</t>
    <rPh sb="0" eb="3">
      <t>ミヤザキシ</t>
    </rPh>
    <phoneticPr fontId="5"/>
  </si>
  <si>
    <t>ミヤザキシ</t>
  </si>
  <si>
    <t>諸塚村</t>
    <rPh sb="0" eb="3">
      <t>モロツカソン</t>
    </rPh>
    <phoneticPr fontId="5"/>
  </si>
  <si>
    <t>モロツカソン</t>
  </si>
  <si>
    <t>鹿児島県</t>
  </si>
  <si>
    <t>姶良市</t>
    <rPh sb="0" eb="3">
      <t>アイラシ</t>
    </rPh>
    <phoneticPr fontId="5"/>
  </si>
  <si>
    <t>アイラシ</t>
  </si>
  <si>
    <t>阿久根市</t>
    <rPh sb="0" eb="4">
      <t>アクネシ</t>
    </rPh>
    <phoneticPr fontId="5"/>
  </si>
  <si>
    <t>アクネシ</t>
  </si>
  <si>
    <t>天城町</t>
    <rPh sb="0" eb="3">
      <t>アマギチョウ</t>
    </rPh>
    <phoneticPr fontId="5"/>
  </si>
  <si>
    <t>アマギチョウ</t>
  </si>
  <si>
    <t>奄美市</t>
    <rPh sb="0" eb="3">
      <t>アマミシ</t>
    </rPh>
    <phoneticPr fontId="5"/>
  </si>
  <si>
    <t>アマミシ</t>
  </si>
  <si>
    <t>伊佐市</t>
    <rPh sb="0" eb="2">
      <t>イサ</t>
    </rPh>
    <rPh sb="2" eb="3">
      <t>シ</t>
    </rPh>
    <phoneticPr fontId="5"/>
  </si>
  <si>
    <t>イサシ</t>
  </si>
  <si>
    <t>出水市</t>
    <rPh sb="0" eb="3">
      <t>イズミシ</t>
    </rPh>
    <phoneticPr fontId="5"/>
  </si>
  <si>
    <t>伊仙町</t>
    <rPh sb="0" eb="3">
      <t>イセンチョウ</t>
    </rPh>
    <phoneticPr fontId="5"/>
  </si>
  <si>
    <t>イセンチョウ</t>
  </si>
  <si>
    <t>いちき串木野市</t>
    <rPh sb="3" eb="7">
      <t>クシキノシ</t>
    </rPh>
    <phoneticPr fontId="5"/>
  </si>
  <si>
    <t>イチキクシキノシ</t>
  </si>
  <si>
    <t>指宿市</t>
    <rPh sb="0" eb="3">
      <t>イブスキシ</t>
    </rPh>
    <phoneticPr fontId="5"/>
  </si>
  <si>
    <t>イブスキシ</t>
  </si>
  <si>
    <t>宇検村</t>
    <rPh sb="0" eb="3">
      <t>ウケンソン</t>
    </rPh>
    <phoneticPr fontId="5"/>
  </si>
  <si>
    <t>ウケンソン</t>
  </si>
  <si>
    <t>大崎町</t>
    <rPh sb="0" eb="3">
      <t>オオサキチョウ</t>
    </rPh>
    <phoneticPr fontId="5"/>
  </si>
  <si>
    <t>オオサキチョウ</t>
  </si>
  <si>
    <t>鹿児島市</t>
    <rPh sb="0" eb="4">
      <t>カゴシマシ</t>
    </rPh>
    <phoneticPr fontId="5"/>
  </si>
  <si>
    <t>カゴシマシ</t>
  </si>
  <si>
    <t>鹿屋市</t>
    <rPh sb="0" eb="3">
      <t>カノヤシ</t>
    </rPh>
    <phoneticPr fontId="5"/>
  </si>
  <si>
    <t>カノヤシ</t>
  </si>
  <si>
    <t>喜界町</t>
    <rPh sb="0" eb="3">
      <t>キカイチョウ</t>
    </rPh>
    <phoneticPr fontId="5"/>
  </si>
  <si>
    <t>キカイチョウ</t>
  </si>
  <si>
    <t>肝付町</t>
    <rPh sb="0" eb="3">
      <t>キモツキチョウ</t>
    </rPh>
    <phoneticPr fontId="5"/>
  </si>
  <si>
    <t>キモツキチョウ</t>
  </si>
  <si>
    <t>霧島市</t>
    <rPh sb="0" eb="3">
      <t>キリシマシ</t>
    </rPh>
    <phoneticPr fontId="5"/>
  </si>
  <si>
    <t>キリシマシ</t>
  </si>
  <si>
    <t>錦江町</t>
    <rPh sb="0" eb="3">
      <t>キンコウチョウ</t>
    </rPh>
    <phoneticPr fontId="5"/>
  </si>
  <si>
    <t>キンコウチョウ</t>
  </si>
  <si>
    <t>薩摩川内市</t>
    <rPh sb="0" eb="5">
      <t>サツマセンダイシ</t>
    </rPh>
    <phoneticPr fontId="5"/>
  </si>
  <si>
    <t>サツマセンダイシ</t>
  </si>
  <si>
    <t>さつま町</t>
    <rPh sb="3" eb="4">
      <t>チョウ</t>
    </rPh>
    <phoneticPr fontId="5"/>
  </si>
  <si>
    <t>サツマチョウ</t>
  </si>
  <si>
    <t>志布志市</t>
    <rPh sb="0" eb="4">
      <t>シブシシ</t>
    </rPh>
    <phoneticPr fontId="5"/>
  </si>
  <si>
    <t>シブシシ</t>
  </si>
  <si>
    <t>瀬戸内町</t>
    <rPh sb="0" eb="4">
      <t>セトウチチョウ</t>
    </rPh>
    <phoneticPr fontId="5"/>
  </si>
  <si>
    <t>セトウチチョウ</t>
  </si>
  <si>
    <t>曽於市</t>
    <rPh sb="0" eb="3">
      <t>ソオシ</t>
    </rPh>
    <phoneticPr fontId="5"/>
  </si>
  <si>
    <t>ソオシ</t>
  </si>
  <si>
    <t>大和村</t>
    <rPh sb="0" eb="3">
      <t>ダイワムラ</t>
    </rPh>
    <phoneticPr fontId="5"/>
  </si>
  <si>
    <t>ダイワムラ</t>
  </si>
  <si>
    <t>龍郷町</t>
    <rPh sb="0" eb="3">
      <t>タツゴウチョウ</t>
    </rPh>
    <phoneticPr fontId="5"/>
  </si>
  <si>
    <t>タツゴウチョウ</t>
  </si>
  <si>
    <t>垂水市</t>
    <rPh sb="0" eb="3">
      <t>タルミズシ</t>
    </rPh>
    <phoneticPr fontId="5"/>
  </si>
  <si>
    <t>タルミズシ</t>
  </si>
  <si>
    <t>知名町</t>
    <rPh sb="0" eb="3">
      <t>チナチョウ</t>
    </rPh>
    <phoneticPr fontId="5"/>
  </si>
  <si>
    <t>チナチョウ</t>
  </si>
  <si>
    <t>徳之島町</t>
    <rPh sb="0" eb="4">
      <t>トクノシマチョウ</t>
    </rPh>
    <phoneticPr fontId="5"/>
  </si>
  <si>
    <t>トクノシマチョウ</t>
  </si>
  <si>
    <t>十島村</t>
    <rPh sb="0" eb="3">
      <t>トシマムラ</t>
    </rPh>
    <phoneticPr fontId="5"/>
  </si>
  <si>
    <t>トシマムラ</t>
  </si>
  <si>
    <t>長島町</t>
    <rPh sb="0" eb="3">
      <t>ナガシマチョウ</t>
    </rPh>
    <phoneticPr fontId="5"/>
  </si>
  <si>
    <t>ナガシマチョウ</t>
  </si>
  <si>
    <t>中種子町</t>
    <rPh sb="0" eb="4">
      <t>ナカタネチョウ</t>
    </rPh>
    <phoneticPr fontId="5"/>
  </si>
  <si>
    <t>ナカタネチョウ</t>
  </si>
  <si>
    <t>西之表市</t>
    <rPh sb="0" eb="4">
      <t>ニシノオモテシ</t>
    </rPh>
    <phoneticPr fontId="5"/>
  </si>
  <si>
    <t>ニシノオモテシ</t>
  </si>
  <si>
    <t>日置市</t>
    <rPh sb="0" eb="3">
      <t>ヒオキシ</t>
    </rPh>
    <phoneticPr fontId="5"/>
  </si>
  <si>
    <t>ヒオキシ</t>
  </si>
  <si>
    <t>東串良町</t>
    <rPh sb="0" eb="4">
      <t>ヒガシクシラチョウ</t>
    </rPh>
    <phoneticPr fontId="5"/>
  </si>
  <si>
    <t>ヒガシクシラチョウ</t>
  </si>
  <si>
    <t>枕崎市</t>
    <rPh sb="0" eb="3">
      <t>マクラザキシ</t>
    </rPh>
    <phoneticPr fontId="5"/>
  </si>
  <si>
    <t>マクラザキシ</t>
  </si>
  <si>
    <t>三島村</t>
    <rPh sb="0" eb="2">
      <t>ミシマ</t>
    </rPh>
    <rPh sb="2" eb="3">
      <t>ムラ</t>
    </rPh>
    <phoneticPr fontId="5"/>
  </si>
  <si>
    <t>ミシマムラ</t>
  </si>
  <si>
    <t>南大隅町</t>
    <rPh sb="0" eb="4">
      <t>ミナミオオスミチョウ</t>
    </rPh>
    <phoneticPr fontId="5"/>
  </si>
  <si>
    <t>ミナミオオスミチョウ</t>
  </si>
  <si>
    <t>南九州市</t>
    <rPh sb="0" eb="4">
      <t>ミナミキュウシュウシ</t>
    </rPh>
    <phoneticPr fontId="5"/>
  </si>
  <si>
    <t>ミナミキュウシュウシ</t>
  </si>
  <si>
    <t>南さつま市</t>
    <rPh sb="0" eb="1">
      <t>ミナミ</t>
    </rPh>
    <rPh sb="4" eb="5">
      <t>シ</t>
    </rPh>
    <phoneticPr fontId="5"/>
  </si>
  <si>
    <t>ミナミサツマシ</t>
  </si>
  <si>
    <t>南種子町</t>
    <rPh sb="0" eb="4">
      <t>ミナミタネチョウ</t>
    </rPh>
    <phoneticPr fontId="5"/>
  </si>
  <si>
    <t>ミナミタネチョウ</t>
  </si>
  <si>
    <t>屋久島町</t>
    <rPh sb="0" eb="3">
      <t>ヤクシマ</t>
    </rPh>
    <rPh sb="3" eb="4">
      <t>チョウ</t>
    </rPh>
    <phoneticPr fontId="5"/>
  </si>
  <si>
    <t>ヤクシマチョウ</t>
  </si>
  <si>
    <t>湧水町</t>
    <rPh sb="0" eb="3">
      <t>ユウスイチョウ</t>
    </rPh>
    <phoneticPr fontId="5"/>
  </si>
  <si>
    <t>ユウスイチョウ</t>
  </si>
  <si>
    <t>与論町</t>
    <rPh sb="0" eb="3">
      <t>ヨロンチョウ</t>
    </rPh>
    <phoneticPr fontId="5"/>
  </si>
  <si>
    <t>ヨロンチョウ</t>
  </si>
  <si>
    <t>和泊町</t>
    <rPh sb="0" eb="3">
      <t>ワドマリチョウ</t>
    </rPh>
    <phoneticPr fontId="5"/>
  </si>
  <si>
    <t>ワドマリチョウ</t>
  </si>
  <si>
    <t>沖縄県</t>
  </si>
  <si>
    <t>全ての市町村</t>
    <rPh sb="0" eb="1">
      <t>スベ</t>
    </rPh>
    <rPh sb="3" eb="6">
      <t>シチョウソン</t>
    </rPh>
    <phoneticPr fontId="5"/>
  </si>
  <si>
    <t>スベテノシチョウソン</t>
  </si>
  <si>
    <t>窓の
入力方法</t>
    <rPh sb="0" eb="1">
      <t>マド</t>
    </rPh>
    <phoneticPr fontId="12"/>
  </si>
  <si>
    <t>窓の入力方法</t>
    <phoneticPr fontId="12"/>
  </si>
  <si>
    <t>熱抵抗</t>
    <phoneticPr fontId="12"/>
  </si>
  <si>
    <t>計算結果出力</t>
    <phoneticPr fontId="12"/>
  </si>
  <si>
    <t>直接入力
熱貫流率</t>
    <phoneticPr fontId="12"/>
  </si>
  <si>
    <t>　◎　作成環境とExcelのバージョンが異なる場合、動作環境によって一部の機能が失われる等、正常に実行されなくなる可能性があることをあらかじめご了承ください。</t>
    <rPh sb="3" eb="5">
      <t>サクセイ</t>
    </rPh>
    <rPh sb="5" eb="7">
      <t>カンキョウ</t>
    </rPh>
    <rPh sb="20" eb="21">
      <t>コト</t>
    </rPh>
    <rPh sb="23" eb="25">
      <t>バアイ</t>
    </rPh>
    <rPh sb="26" eb="28">
      <t>ドウサ</t>
    </rPh>
    <rPh sb="28" eb="30">
      <t>カンキョウ</t>
    </rPh>
    <rPh sb="34" eb="36">
      <t>イチブ</t>
    </rPh>
    <rPh sb="37" eb="39">
      <t>キノウ</t>
    </rPh>
    <rPh sb="40" eb="41">
      <t>ウシナ</t>
    </rPh>
    <rPh sb="44" eb="45">
      <t>トウ</t>
    </rPh>
    <rPh sb="46" eb="48">
      <t>セイジョウ</t>
    </rPh>
    <rPh sb="49" eb="51">
      <t>ジッコウ</t>
    </rPh>
    <rPh sb="57" eb="59">
      <t>カノウ</t>
    </rPh>
    <rPh sb="59" eb="60">
      <t>セイ</t>
    </rPh>
    <rPh sb="72" eb="74">
      <t>リョウショウ</t>
    </rPh>
    <phoneticPr fontId="12"/>
  </si>
  <si>
    <t>　◎　当該ファイルには関数やマクロが含まれていますので、不具合が生じる場合があることをあらかじめご了承ください。</t>
  </si>
  <si>
    <t>　◎　メッセージ バーで　[セキュリティの警告　マクロが無効にされました。]　が表示された場合、　[コンテンツの有効化] 　をクリックしてください。</t>
  </si>
  <si>
    <t>建具とガラスの組み合わせから入力</t>
    <phoneticPr fontId="12"/>
  </si>
  <si>
    <t>ドアの入力方法</t>
    <phoneticPr fontId="12"/>
  </si>
  <si>
    <t>枠と戸の組み合わせから入力</t>
    <rPh sb="0" eb="1">
      <t>ワク</t>
    </rPh>
    <rPh sb="2" eb="3">
      <t>ト</t>
    </rPh>
    <phoneticPr fontId="12"/>
  </si>
  <si>
    <t>省エネ基準適否</t>
    <rPh sb="0" eb="1">
      <t>ショウ</t>
    </rPh>
    <rPh sb="3" eb="5">
      <t>キジュン</t>
    </rPh>
    <rPh sb="5" eb="7">
      <t>テキヒ</t>
    </rPh>
    <phoneticPr fontId="12"/>
  </si>
  <si>
    <t>部位</t>
    <rPh sb="0" eb="2">
      <t>ブイ</t>
    </rPh>
    <phoneticPr fontId="26"/>
  </si>
  <si>
    <t>外壁</t>
    <rPh sb="0" eb="2">
      <t>ガイヘキ</t>
    </rPh>
    <phoneticPr fontId="26"/>
  </si>
  <si>
    <t>基礎</t>
    <rPh sb="0" eb="2">
      <t>キソ</t>
    </rPh>
    <phoneticPr fontId="26"/>
  </si>
  <si>
    <t>地域区分</t>
    <rPh sb="0" eb="2">
      <t>チイキ</t>
    </rPh>
    <rPh sb="2" eb="4">
      <t>クブン</t>
    </rPh>
    <phoneticPr fontId="26"/>
  </si>
  <si>
    <t>充填</t>
    <rPh sb="0" eb="2">
      <t>ジュウテン</t>
    </rPh>
    <phoneticPr fontId="26"/>
  </si>
  <si>
    <t>その他床</t>
    <rPh sb="2" eb="3">
      <t>タ</t>
    </rPh>
    <rPh sb="3" eb="4">
      <t>ユカ</t>
    </rPh>
    <phoneticPr fontId="26"/>
  </si>
  <si>
    <t>外気接</t>
    <rPh sb="0" eb="2">
      <t>ガイキ</t>
    </rPh>
    <rPh sb="2" eb="3">
      <t>セツ</t>
    </rPh>
    <phoneticPr fontId="26"/>
  </si>
  <si>
    <t>ー</t>
    <phoneticPr fontId="26"/>
  </si>
  <si>
    <t>該当チェック</t>
    <rPh sb="0" eb="2">
      <t>ガイトウ</t>
    </rPh>
    <phoneticPr fontId="12"/>
  </si>
  <si>
    <t>Low-Eガラス
日射取得/遮蔽</t>
    <phoneticPr fontId="12"/>
  </si>
  <si>
    <t>以下であること</t>
    <rPh sb="0" eb="2">
      <t>イカ</t>
    </rPh>
    <phoneticPr fontId="26"/>
  </si>
  <si>
    <t>誘導基準</t>
    <rPh sb="0" eb="2">
      <t>ユウドウ</t>
    </rPh>
    <rPh sb="2" eb="4">
      <t>キジュン</t>
    </rPh>
    <phoneticPr fontId="26"/>
  </si>
  <si>
    <t>省エネ基準</t>
    <rPh sb="0" eb="1">
      <t>ショウ</t>
    </rPh>
    <rPh sb="3" eb="5">
      <t>キジュン</t>
    </rPh>
    <phoneticPr fontId="26"/>
  </si>
  <si>
    <t>U</t>
    <phoneticPr fontId="12"/>
  </si>
  <si>
    <t>η</t>
    <phoneticPr fontId="26"/>
  </si>
  <si>
    <t>η</t>
    <phoneticPr fontId="12"/>
  </si>
  <si>
    <t>非表示</t>
    <rPh sb="0" eb="3">
      <t>ヒヒョウジ</t>
    </rPh>
    <phoneticPr fontId="12"/>
  </si>
  <si>
    <t>軸組充填</t>
  </si>
  <si>
    <t>仕様基準【省エネ基準】　断熱材の熱抵抗値基準　</t>
    <rPh sb="0" eb="2">
      <t>シヨウ</t>
    </rPh>
    <rPh sb="2" eb="4">
      <t>キジュン</t>
    </rPh>
    <rPh sb="5" eb="6">
      <t>ショウ</t>
    </rPh>
    <rPh sb="8" eb="10">
      <t>キジュン</t>
    </rPh>
    <rPh sb="12" eb="15">
      <t>ダンネツザイ</t>
    </rPh>
    <rPh sb="16" eb="17">
      <t>ネツ</t>
    </rPh>
    <rPh sb="17" eb="19">
      <t>テイコウ</t>
    </rPh>
    <rPh sb="19" eb="20">
      <t>アタイ</t>
    </rPh>
    <rPh sb="20" eb="22">
      <t>キジュン</t>
    </rPh>
    <phoneticPr fontId="26"/>
  </si>
  <si>
    <t>木造（軸組充填）</t>
    <rPh sb="5" eb="7">
      <t>ジュウテン</t>
    </rPh>
    <phoneticPr fontId="12"/>
  </si>
  <si>
    <t>仕様基準　</t>
    <rPh sb="0" eb="2">
      <t>シヨウ</t>
    </rPh>
    <rPh sb="2" eb="4">
      <t>キジュン</t>
    </rPh>
    <phoneticPr fontId="26"/>
  </si>
  <si>
    <r>
      <t>窓の熱貫流率U　</t>
    </r>
    <r>
      <rPr>
        <sz val="11"/>
        <color theme="1"/>
        <rFont val="Calibri"/>
        <family val="3"/>
        <charset val="161"/>
      </rPr>
      <t>η</t>
    </r>
    <phoneticPr fontId="12"/>
  </si>
  <si>
    <r>
      <t>ドアの熱貫流率U　</t>
    </r>
    <r>
      <rPr>
        <sz val="11"/>
        <color theme="1"/>
        <rFont val="Calibri"/>
        <family val="3"/>
        <charset val="161"/>
      </rPr>
      <t>η</t>
    </r>
    <phoneticPr fontId="12"/>
  </si>
  <si>
    <t>② 熱抵抗R入力方法　　「直接入力」　の場合</t>
    <rPh sb="6" eb="10">
      <t>ニュウリョクホウホウ</t>
    </rPh>
    <rPh sb="20" eb="22">
      <t>バアイ</t>
    </rPh>
    <phoneticPr fontId="12"/>
  </si>
  <si>
    <t>枠組充填</t>
    <phoneticPr fontId="12"/>
  </si>
  <si>
    <t>外張</t>
    <phoneticPr fontId="12"/>
  </si>
  <si>
    <t>木造（枠組充填）</t>
    <phoneticPr fontId="12"/>
  </si>
  <si>
    <t>木造（外張）</t>
    <phoneticPr fontId="12"/>
  </si>
  <si>
    <t>外気床</t>
    <rPh sb="0" eb="2">
      <t>ガイキ</t>
    </rPh>
    <rPh sb="2" eb="3">
      <t>ユカ</t>
    </rPh>
    <phoneticPr fontId="26"/>
  </si>
  <si>
    <t>その他</t>
    <rPh sb="2" eb="3">
      <t>タ</t>
    </rPh>
    <phoneticPr fontId="26"/>
  </si>
  <si>
    <t>木造（内断熱）</t>
    <phoneticPr fontId="12"/>
  </si>
  <si>
    <t>木造（外断熱又は両面断熱）</t>
    <rPh sb="3" eb="6">
      <t>ソトダンネツ</t>
    </rPh>
    <rPh sb="6" eb="7">
      <t>マタ</t>
    </rPh>
    <rPh sb="8" eb="10">
      <t>リョウメン</t>
    </rPh>
    <rPh sb="10" eb="12">
      <t>ダンネツ</t>
    </rPh>
    <phoneticPr fontId="12"/>
  </si>
  <si>
    <t>記号</t>
    <rPh sb="0" eb="2">
      <t>キゴウ</t>
    </rPh>
    <phoneticPr fontId="12"/>
  </si>
  <si>
    <t>基準値</t>
    <rPh sb="0" eb="3">
      <t>キジュンチ</t>
    </rPh>
    <phoneticPr fontId="12"/>
  </si>
  <si>
    <t>内断熱</t>
    <phoneticPr fontId="12"/>
  </si>
  <si>
    <t>外断熱または両面断熱</t>
    <phoneticPr fontId="12"/>
  </si>
  <si>
    <t>以上であること</t>
    <rPh sb="0" eb="2">
      <t>イジョウ</t>
    </rPh>
    <phoneticPr fontId="26"/>
  </si>
  <si>
    <t>≧</t>
    <phoneticPr fontId="12"/>
  </si>
  <si>
    <t>石油給湯機【エコフィール含む】のモード熱効率 77.8% 以上のもの</t>
    <rPh sb="12" eb="13">
      <t>フク</t>
    </rPh>
    <phoneticPr fontId="12"/>
  </si>
  <si>
    <t>ガス給湯機【エコジョーズ含む】のモード熱効率 78.2% 以上のもの</t>
    <phoneticPr fontId="12"/>
  </si>
  <si>
    <t>直接入力</t>
    <rPh sb="0" eb="4">
      <t>チョクセツニュウリョク</t>
    </rPh>
    <phoneticPr fontId="12"/>
  </si>
  <si>
    <t>プルダウン</t>
    <phoneticPr fontId="12"/>
  </si>
  <si>
    <t>基本情報</t>
    <rPh sb="0" eb="2">
      <t>キホン</t>
    </rPh>
    <rPh sb="2" eb="4">
      <t>ジョウホウ</t>
    </rPh>
    <phoneticPr fontId="12"/>
  </si>
  <si>
    <r>
      <t>熱抵抗</t>
    </r>
    <r>
      <rPr>
        <sz val="10"/>
        <rFont val="BIZ UDPゴシック"/>
        <family val="3"/>
        <charset val="128"/>
      </rPr>
      <t>［㎡･K/W］</t>
    </r>
    <rPh sb="0" eb="3">
      <t>ネツテイコウ</t>
    </rPh>
    <phoneticPr fontId="12"/>
  </si>
  <si>
    <r>
      <t>厚さ</t>
    </r>
    <r>
      <rPr>
        <sz val="10"/>
        <rFont val="BIZ UDPゴシック"/>
        <family val="3"/>
        <charset val="128"/>
      </rPr>
      <t>[mm]</t>
    </r>
    <phoneticPr fontId="12"/>
  </si>
  <si>
    <t>部位・地域・窓の設置場所</t>
    <rPh sb="0" eb="2">
      <t>ブイ</t>
    </rPh>
    <rPh sb="3" eb="5">
      <t>チイキ</t>
    </rPh>
    <rPh sb="6" eb="7">
      <t>マド</t>
    </rPh>
    <rPh sb="8" eb="10">
      <t>セッチ</t>
    </rPh>
    <rPh sb="10" eb="12">
      <t>バショ</t>
    </rPh>
    <phoneticPr fontId="26"/>
  </si>
  <si>
    <t>日射取得
/日射遮蔽</t>
    <rPh sb="0" eb="2">
      <t>ニッシャ</t>
    </rPh>
    <rPh sb="2" eb="4">
      <t>シュトク</t>
    </rPh>
    <rPh sb="6" eb="8">
      <t>ニッシャ</t>
    </rPh>
    <rPh sb="8" eb="10">
      <t>シャヘイ</t>
    </rPh>
    <phoneticPr fontId="12"/>
  </si>
  <si>
    <r>
      <t>熱貫流率</t>
    </r>
    <r>
      <rPr>
        <sz val="10"/>
        <rFont val="BIZ UDPゴシック"/>
        <family val="3"/>
        <charset val="128"/>
      </rPr>
      <t>［W/(㎡･K)]</t>
    </r>
    <rPh sb="0" eb="1">
      <t>ネツ</t>
    </rPh>
    <rPh sb="1" eb="3">
      <t>カンリュウ</t>
    </rPh>
    <rPh sb="3" eb="4">
      <t>リツ</t>
    </rPh>
    <phoneticPr fontId="12"/>
  </si>
  <si>
    <r>
      <t>日射熱取得率</t>
    </r>
    <r>
      <rPr>
        <sz val="10"/>
        <rFont val="BIZ UDPゴシック"/>
        <family val="3"/>
        <charset val="128"/>
      </rPr>
      <t>［－］</t>
    </r>
    <rPh sb="0" eb="2">
      <t>ニッシャ</t>
    </rPh>
    <rPh sb="2" eb="3">
      <t>ネツ</t>
    </rPh>
    <rPh sb="3" eb="5">
      <t>シュトク</t>
    </rPh>
    <rPh sb="5" eb="6">
      <t>リツ</t>
    </rPh>
    <phoneticPr fontId="12"/>
  </si>
  <si>
    <r>
      <t>熱貫流率</t>
    </r>
    <r>
      <rPr>
        <sz val="10"/>
        <rFont val="BIZ UDPゴシック"/>
        <family val="3"/>
        <charset val="128"/>
      </rPr>
      <t>［W/(㎡･K)]</t>
    </r>
    <phoneticPr fontId="12"/>
  </si>
  <si>
    <t>設備の種類</t>
    <rPh sb="0" eb="2">
      <t>セツビ</t>
    </rPh>
    <rPh sb="3" eb="5">
      <t>シュルイ</t>
    </rPh>
    <phoneticPr fontId="26"/>
  </si>
  <si>
    <t>設備機器の仕様</t>
    <rPh sb="0" eb="2">
      <t>セツビ</t>
    </rPh>
    <rPh sb="2" eb="4">
      <t>キキ</t>
    </rPh>
    <rPh sb="5" eb="7">
      <t>シヨウ</t>
    </rPh>
    <phoneticPr fontId="26"/>
  </si>
  <si>
    <t>照明設備</t>
    <rPh sb="0" eb="2">
      <t>ショウメイ</t>
    </rPh>
    <rPh sb="2" eb="4">
      <t>セツビ</t>
    </rPh>
    <phoneticPr fontId="26"/>
  </si>
  <si>
    <t>ルームエアコンディショナーで、エネルギー消費効率の区分が（ い） 又は（ ろ） のもの</t>
    <phoneticPr fontId="12"/>
  </si>
  <si>
    <t>ダクト式第二種 又は 第三種換気設備で、 ダクト内径が75ｍｍ以上のもの</t>
    <phoneticPr fontId="12"/>
  </si>
  <si>
    <t>壁付け式第二種 又は 第三種換気設備のもの</t>
    <phoneticPr fontId="12"/>
  </si>
  <si>
    <t>非居室の全ての照明に、LED 又は 蛍光灯 を設置している</t>
    <phoneticPr fontId="12"/>
  </si>
  <si>
    <t>ドアの
入力方法</t>
    <phoneticPr fontId="12"/>
  </si>
  <si>
    <t>事務所登録：</t>
    <rPh sb="0" eb="2">
      <t>ジム</t>
    </rPh>
    <rPh sb="2" eb="3">
      <t>ショ</t>
    </rPh>
    <rPh sb="3" eb="5">
      <t>トウロク</t>
    </rPh>
    <phoneticPr fontId="12"/>
  </si>
  <si>
    <t>建築士番号：</t>
    <rPh sb="0" eb="3">
      <t>ケンチクシ</t>
    </rPh>
    <phoneticPr fontId="12"/>
  </si>
  <si>
    <t>自動で表示</t>
    <rPh sb="0" eb="2">
      <t>ジドウ</t>
    </rPh>
    <rPh sb="3" eb="5">
      <t>ヒョウジ</t>
    </rPh>
    <phoneticPr fontId="12"/>
  </si>
  <si>
    <t xml:space="preserve">熱抵抗 </t>
    <phoneticPr fontId="12"/>
  </si>
  <si>
    <t>暖房設備</t>
    <rPh sb="0" eb="2">
      <t>ダンボウ</t>
    </rPh>
    <rPh sb="2" eb="4">
      <t>セツビ</t>
    </rPh>
    <phoneticPr fontId="12"/>
  </si>
  <si>
    <t>冷房設備</t>
    <rPh sb="0" eb="2">
      <t>レイボウ</t>
    </rPh>
    <rPh sb="2" eb="4">
      <t>セツビ</t>
    </rPh>
    <phoneticPr fontId="12"/>
  </si>
  <si>
    <t>暖房</t>
    <rPh sb="0" eb="2">
      <t>ダンボウ</t>
    </rPh>
    <phoneticPr fontId="12"/>
  </si>
  <si>
    <t>冷房</t>
    <rPh sb="0" eb="2">
      <t>レイボウ</t>
    </rPh>
    <phoneticPr fontId="12"/>
  </si>
  <si>
    <t>換気</t>
    <rPh sb="0" eb="2">
      <t>カンキ</t>
    </rPh>
    <phoneticPr fontId="12"/>
  </si>
  <si>
    <t>給湯</t>
    <rPh sb="0" eb="2">
      <t>キュウトウ</t>
    </rPh>
    <phoneticPr fontId="12"/>
  </si>
  <si>
    <t>照明</t>
    <rPh sb="0" eb="2">
      <t>ショウメイ</t>
    </rPh>
    <phoneticPr fontId="12"/>
  </si>
  <si>
    <r>
      <t xml:space="preserve">照明設備
</t>
    </r>
    <r>
      <rPr>
        <sz val="12"/>
        <color theme="1"/>
        <rFont val="BIZ UDPゴシック"/>
        <family val="3"/>
        <charset val="128"/>
      </rPr>
      <t>（非居室の仕様）</t>
    </r>
    <r>
      <rPr>
        <sz val="14"/>
        <color theme="1"/>
        <rFont val="BIZ UDPゴシック"/>
        <family val="3"/>
        <charset val="128"/>
      </rPr>
      <t xml:space="preserve">
</t>
    </r>
    <r>
      <rPr>
        <sz val="2"/>
        <color theme="1"/>
        <rFont val="BIZ UDPゴシック"/>
        <family val="3"/>
        <charset val="128"/>
      </rPr>
      <t>　</t>
    </r>
    <r>
      <rPr>
        <sz val="6"/>
        <color theme="1"/>
        <rFont val="BIZ UDPゴシック"/>
        <family val="3"/>
        <charset val="128"/>
      </rPr>
      <t xml:space="preserve">
</t>
    </r>
    <r>
      <rPr>
        <sz val="10"/>
        <color theme="1"/>
        <rFont val="BIZ UDPゴシック"/>
        <family val="3"/>
        <charset val="128"/>
      </rPr>
      <t>右記のいずれかを選択</t>
    </r>
    <phoneticPr fontId="12"/>
  </si>
  <si>
    <t>設計値</t>
    <phoneticPr fontId="12"/>
  </si>
  <si>
    <t>基準値</t>
    <phoneticPr fontId="12"/>
  </si>
  <si>
    <t>熱貫流率</t>
    <rPh sb="0" eb="1">
      <t>ネツ</t>
    </rPh>
    <rPh sb="1" eb="3">
      <t>カンリュウ</t>
    </rPh>
    <rPh sb="3" eb="4">
      <t>リツ</t>
    </rPh>
    <phoneticPr fontId="12"/>
  </si>
  <si>
    <t>日射熱取得率</t>
    <rPh sb="0" eb="2">
      <t>ニッシャ</t>
    </rPh>
    <rPh sb="2" eb="3">
      <t>ネツ</t>
    </rPh>
    <rPh sb="3" eb="6">
      <t>シュトクリツ</t>
    </rPh>
    <phoneticPr fontId="12"/>
  </si>
  <si>
    <t>１～４
地域</t>
    <rPh sb="4" eb="6">
      <t>チイキ</t>
    </rPh>
    <phoneticPr fontId="12"/>
  </si>
  <si>
    <t>５～８
地域</t>
    <phoneticPr fontId="12"/>
  </si>
  <si>
    <t>備考</t>
    <rPh sb="0" eb="2">
      <t>ビコウ</t>
    </rPh>
    <phoneticPr fontId="26"/>
  </si>
  <si>
    <t>備考</t>
    <rPh sb="0" eb="2">
      <t>ビコウ</t>
    </rPh>
    <phoneticPr fontId="12"/>
  </si>
  <si>
    <t>仕様基準に基づく仕様表作成ツール　【木造戸建て住宅用】</t>
    <rPh sb="18" eb="20">
      <t>モクゾウ</t>
    </rPh>
    <rPh sb="20" eb="22">
      <t>コダ</t>
    </rPh>
    <rPh sb="23" eb="25">
      <t>ジュウタク</t>
    </rPh>
    <rPh sb="25" eb="26">
      <t>ヨウ</t>
    </rPh>
    <phoneticPr fontId="12"/>
  </si>
  <si>
    <t>基 本 情 報</t>
    <rPh sb="0" eb="1">
      <t>モト</t>
    </rPh>
    <rPh sb="2" eb="3">
      <t>ホン</t>
    </rPh>
    <rPh sb="4" eb="5">
      <t>ジョウ</t>
    </rPh>
    <rPh sb="6" eb="7">
      <t>ホウ</t>
    </rPh>
    <phoneticPr fontId="12"/>
  </si>
  <si>
    <r>
      <t>　　　*1：</t>
    </r>
    <r>
      <rPr>
        <b/>
        <sz val="11"/>
        <rFont val="BIZ UDPゴシック"/>
        <family val="3"/>
        <charset val="128"/>
      </rPr>
      <t>断熱構造とする部位とは</t>
    </r>
    <r>
      <rPr>
        <sz val="11"/>
        <rFont val="BIZ UDPゴシック"/>
        <family val="3"/>
        <charset val="128"/>
      </rPr>
      <t>、外気と室内を熱的に区分し、断熱及び日射遮蔽の措置を講じた構造を断熱構造といい、屋根、天井、壁、床、開口部などの部位を指します（右図参照）。</t>
    </r>
    <rPh sb="6" eb="10">
      <t>ダンネツコウゾウ</t>
    </rPh>
    <rPh sb="13" eb="15">
      <t>ブイ</t>
    </rPh>
    <rPh sb="18" eb="20">
      <t>ガイキ</t>
    </rPh>
    <rPh sb="21" eb="23">
      <t>シツナイ</t>
    </rPh>
    <rPh sb="24" eb="26">
      <t>ネツテキ</t>
    </rPh>
    <rPh sb="27" eb="29">
      <t>クブン</t>
    </rPh>
    <rPh sb="31" eb="33">
      <t>ダンネツ</t>
    </rPh>
    <rPh sb="33" eb="34">
      <t>オヨ</t>
    </rPh>
    <rPh sb="35" eb="37">
      <t>ニッシャ</t>
    </rPh>
    <rPh sb="37" eb="39">
      <t>シャヘイ</t>
    </rPh>
    <rPh sb="40" eb="42">
      <t>ソチ</t>
    </rPh>
    <rPh sb="43" eb="44">
      <t>コウ</t>
    </rPh>
    <rPh sb="46" eb="48">
      <t>コウゾウ</t>
    </rPh>
    <rPh sb="49" eb="51">
      <t>ダンネツ</t>
    </rPh>
    <rPh sb="51" eb="53">
      <t>コウゾウ</t>
    </rPh>
    <rPh sb="57" eb="59">
      <t>ヤネ</t>
    </rPh>
    <rPh sb="60" eb="62">
      <t>テンジョウ</t>
    </rPh>
    <rPh sb="63" eb="64">
      <t>カベ</t>
    </rPh>
    <rPh sb="65" eb="66">
      <t>ユカ</t>
    </rPh>
    <rPh sb="67" eb="70">
      <t>カイコウブ</t>
    </rPh>
    <rPh sb="73" eb="75">
      <t>ブイ</t>
    </rPh>
    <rPh sb="76" eb="77">
      <t>サ</t>
    </rPh>
    <rPh sb="81" eb="83">
      <t>ミギズ</t>
    </rPh>
    <rPh sb="83" eb="85">
      <t>サンショウ</t>
    </rPh>
    <phoneticPr fontId="12"/>
  </si>
  <si>
    <t>Ver. 1.0</t>
    <phoneticPr fontId="12"/>
  </si>
  <si>
    <t>　 　「木造戸建住宅の仕様基準ガイドブック［省エネ基準編］」　、　「【建築物省エネ法】設計・監理資料集（住宅版）」</t>
    <phoneticPr fontId="12"/>
  </si>
  <si>
    <t>　　　https://www.mlit.go.jp/jutakukentiku/house/04.html</t>
    <phoneticPr fontId="12"/>
  </si>
  <si>
    <t>※1　床の「外気に接する部分」のうち、住宅の床面積の合計に0.05を乗じた面積以下の部分については、床の「その他の部分」とみなすことができます。</t>
    <rPh sb="3" eb="4">
      <t>ユカ</t>
    </rPh>
    <rPh sb="6" eb="8">
      <t>ガイキ</t>
    </rPh>
    <rPh sb="9" eb="10">
      <t>セッ</t>
    </rPh>
    <rPh sb="12" eb="14">
      <t>ブブン</t>
    </rPh>
    <rPh sb="19" eb="21">
      <t>ジュウタク</t>
    </rPh>
    <rPh sb="22" eb="25">
      <t>ユカメンセキ</t>
    </rPh>
    <rPh sb="26" eb="28">
      <t>ゴウケイ</t>
    </rPh>
    <rPh sb="34" eb="35">
      <t>ジョウ</t>
    </rPh>
    <rPh sb="37" eb="39">
      <t>メンセキ</t>
    </rPh>
    <rPh sb="39" eb="41">
      <t>イカ</t>
    </rPh>
    <rPh sb="42" eb="44">
      <t>ブブン</t>
    </rPh>
    <rPh sb="50" eb="51">
      <t>ユカ</t>
    </rPh>
    <rPh sb="55" eb="56">
      <t>タ</t>
    </rPh>
    <rPh sb="57" eb="59">
      <t>ブブン</t>
    </rPh>
    <phoneticPr fontId="12"/>
  </si>
  <si>
    <t>５ ・ ６ ・ ７ 地域　仕様入力シート</t>
    <rPh sb="10" eb="12">
      <t>チイキ</t>
    </rPh>
    <rPh sb="13" eb="15">
      <t>シヨウ</t>
    </rPh>
    <rPh sb="15" eb="17">
      <t>ニュウリョク</t>
    </rPh>
    <phoneticPr fontId="12"/>
  </si>
  <si>
    <t>設置しない（入居者設置など）</t>
    <rPh sb="0" eb="2">
      <t>セッチ</t>
    </rPh>
    <rPh sb="6" eb="9">
      <t>ニュウキョシャ</t>
    </rPh>
    <rPh sb="9" eb="11">
      <t>セッチ</t>
    </rPh>
    <phoneticPr fontId="12"/>
  </si>
  <si>
    <t xml:space="preserve"> ※　本ツールは令和６年度補助事業のもと、（一社）日本サステナブル建築協会が作成（監修 国土交通省）しました。</t>
    <rPh sb="3" eb="4">
      <t>ホン</t>
    </rPh>
    <rPh sb="8" eb="10">
      <t>レイワ</t>
    </rPh>
    <rPh sb="11" eb="13">
      <t>ネンド</t>
    </rPh>
    <rPh sb="13" eb="15">
      <t>ホジョ</t>
    </rPh>
    <rPh sb="15" eb="17">
      <t>ジギョウ</t>
    </rPh>
    <rPh sb="38" eb="40">
      <t>サクセイ</t>
    </rPh>
    <rPh sb="41" eb="43">
      <t>カンシュウ</t>
    </rPh>
    <rPh sb="43" eb="45">
      <t>コクド</t>
    </rPh>
    <rPh sb="45" eb="48">
      <t>コウツウショウ</t>
    </rPh>
    <phoneticPr fontId="12"/>
  </si>
  <si>
    <t>記入日（西暦）：</t>
    <rPh sb="0" eb="3">
      <t>キニュウビ</t>
    </rPh>
    <rPh sb="4" eb="6">
      <t>セイレキ</t>
    </rPh>
    <phoneticPr fontId="12"/>
  </si>
  <si>
    <t>備考
② 窓の入力方法　　「直接入力」　の場合</t>
    <rPh sb="0" eb="2">
      <t>ビコウ</t>
    </rPh>
    <rPh sb="5" eb="6">
      <t>マド</t>
    </rPh>
    <phoneticPr fontId="12"/>
  </si>
  <si>
    <t>製品カタログやホームページ、自己適合宣言附属書の№を記入</t>
    <rPh sb="26" eb="28">
      <t>キニュウ</t>
    </rPh>
    <phoneticPr fontId="12"/>
  </si>
  <si>
    <t>備考
② ドアの入力方法　　「直接入力」　の場合</t>
    <rPh sb="0" eb="2">
      <t>ビコウ</t>
    </rPh>
    <phoneticPr fontId="12"/>
  </si>
  <si>
    <t>直接入力
開口部の日射熱取得率</t>
    <rPh sb="0" eb="4">
      <t>チョクセツニュウリョク</t>
    </rPh>
    <rPh sb="5" eb="8">
      <t>カイコウブ</t>
    </rPh>
    <rPh sb="9" eb="12">
      <t>ニッシャネツ</t>
    </rPh>
    <rPh sb="12" eb="15">
      <t>シュトクリツ</t>
    </rPh>
    <phoneticPr fontId="12"/>
  </si>
  <si>
    <r>
      <t>熱貫流率</t>
    </r>
    <r>
      <rPr>
        <b/>
        <sz val="11"/>
        <rFont val="BIZ UDPゴシック"/>
        <family val="3"/>
        <charset val="128"/>
      </rPr>
      <t>Ｕが最大</t>
    </r>
    <r>
      <rPr>
        <sz val="11"/>
        <rFont val="BIZ UDPゴシック"/>
        <family val="3"/>
        <charset val="128"/>
      </rPr>
      <t>の窓</t>
    </r>
    <rPh sb="0" eb="4">
      <t>ネツカンリュウリツ</t>
    </rPh>
    <rPh sb="6" eb="8">
      <t>サイダイ</t>
    </rPh>
    <rPh sb="9" eb="10">
      <t>マド</t>
    </rPh>
    <phoneticPr fontId="12"/>
  </si>
  <si>
    <r>
      <t xml:space="preserve">有効なひさし、軒等が
</t>
    </r>
    <r>
      <rPr>
        <sz val="12"/>
        <rFont val="HGP創英角ｺﾞｼｯｸUB"/>
        <family val="3"/>
        <charset val="128"/>
      </rPr>
      <t>ある</t>
    </r>
    <r>
      <rPr>
        <sz val="11"/>
        <rFont val="HGP創英角ｺﾞｼｯｸUB"/>
        <family val="3"/>
        <charset val="128"/>
      </rPr>
      <t xml:space="preserve"> </t>
    </r>
    <r>
      <rPr>
        <sz val="11"/>
        <rFont val="BIZ UDPゴシック"/>
        <family val="3"/>
        <charset val="128"/>
      </rPr>
      <t>所に設置する窓</t>
    </r>
    <phoneticPr fontId="12"/>
  </si>
  <si>
    <r>
      <t xml:space="preserve">有効なひさし、軒等が
</t>
    </r>
    <r>
      <rPr>
        <sz val="12"/>
        <rFont val="HGP創英角ｺﾞｼｯｸUB"/>
        <family val="3"/>
        <charset val="128"/>
      </rPr>
      <t>ない</t>
    </r>
    <r>
      <rPr>
        <sz val="11"/>
        <rFont val="HGP創英角ｺﾞｼｯｸUB"/>
        <family val="3"/>
        <charset val="128"/>
      </rPr>
      <t xml:space="preserve"> </t>
    </r>
    <r>
      <rPr>
        <sz val="11"/>
        <rFont val="BIZ UDPゴシック"/>
        <family val="3"/>
        <charset val="128"/>
      </rPr>
      <t>所に設置する窓</t>
    </r>
    <phoneticPr fontId="12"/>
  </si>
  <si>
    <r>
      <t>熱貫流率</t>
    </r>
    <r>
      <rPr>
        <b/>
        <sz val="11"/>
        <rFont val="BIZ UDPゴシック"/>
        <family val="3"/>
        <charset val="128"/>
      </rPr>
      <t>Ｕが最大</t>
    </r>
    <rPh sb="0" eb="4">
      <t>ネツカンリュウリツ</t>
    </rPh>
    <rPh sb="6" eb="8">
      <t>サイダイ</t>
    </rPh>
    <phoneticPr fontId="12"/>
  </si>
  <si>
    <t>８ 地域　仕様入力シート</t>
    <phoneticPr fontId="12"/>
  </si>
  <si>
    <t>居室のみを暖房</t>
    <rPh sb="0" eb="2">
      <t>キョシツ</t>
    </rPh>
    <rPh sb="5" eb="7">
      <t>ダンボウ</t>
    </rPh>
    <phoneticPr fontId="12"/>
  </si>
  <si>
    <t>FF 暖房機の熱効率86.0% 以上のもの</t>
  </si>
  <si>
    <t>１ ・ ２ ・ ３ ・ ４ 地域　仕様入力シート</t>
    <rPh sb="14" eb="16">
      <t>チイキ</t>
    </rPh>
    <rPh sb="17" eb="19">
      <t>シヨウ</t>
    </rPh>
    <rPh sb="19" eb="21">
      <t>ニュウリョク</t>
    </rPh>
    <phoneticPr fontId="12"/>
  </si>
  <si>
    <t>石油潜熱回収型給湯機【エコフィール】のモード熱効率 81.3% 以上のもの</t>
    <phoneticPr fontId="12"/>
  </si>
  <si>
    <t>ガス潜熱回収型給湯機【エコジョーズ】のモード熱効率 83.7% 以上のもの</t>
    <phoneticPr fontId="12"/>
  </si>
  <si>
    <t>事務所登録</t>
  </si>
  <si>
    <t>No</t>
    <phoneticPr fontId="12"/>
  </si>
  <si>
    <t>会社名</t>
  </si>
  <si>
    <t>建築士番号</t>
  </si>
  <si>
    <t>建設地：県</t>
    <rPh sb="4" eb="5">
      <t>ケン</t>
    </rPh>
    <phoneticPr fontId="12"/>
  </si>
  <si>
    <t>建設地：市区町村</t>
    <rPh sb="4" eb="8">
      <t>シクチョウソン</t>
    </rPh>
    <phoneticPr fontId="12"/>
  </si>
  <si>
    <t>出力帳票項目名</t>
    <rPh sb="0" eb="4">
      <t>シュツリョクチョウヒョウ</t>
    </rPh>
    <rPh sb="4" eb="6">
      <t>コウモク</t>
    </rPh>
    <rPh sb="6" eb="7">
      <t>メイ</t>
    </rPh>
    <phoneticPr fontId="12"/>
  </si>
  <si>
    <t>断熱材の厚さ</t>
    <rPh sb="4" eb="5">
      <t>アツ</t>
    </rPh>
    <phoneticPr fontId="12"/>
  </si>
  <si>
    <t>熱抵抗：設計値</t>
    <phoneticPr fontId="12"/>
  </si>
  <si>
    <t>熱抵抗：基準値</t>
    <phoneticPr fontId="12"/>
  </si>
  <si>
    <t>床
外気に接する部分</t>
    <rPh sb="0" eb="1">
      <t>ユカ</t>
    </rPh>
    <rPh sb="2" eb="4">
      <t>ガイキ</t>
    </rPh>
    <rPh sb="5" eb="6">
      <t>セッ</t>
    </rPh>
    <rPh sb="8" eb="10">
      <t>ブブン</t>
    </rPh>
    <phoneticPr fontId="12"/>
  </si>
  <si>
    <t>床
その他の部分</t>
    <rPh sb="0" eb="1">
      <t>ユカ</t>
    </rPh>
    <rPh sb="4" eb="5">
      <t>タ</t>
    </rPh>
    <rPh sb="6" eb="8">
      <t>ブブン</t>
    </rPh>
    <phoneticPr fontId="12"/>
  </si>
  <si>
    <t>基礎壁
その他の部分</t>
    <rPh sb="0" eb="3">
      <t>キソカベ</t>
    </rPh>
    <rPh sb="6" eb="7">
      <t>タ</t>
    </rPh>
    <rPh sb="8" eb="10">
      <t>ブブン</t>
    </rPh>
    <phoneticPr fontId="12"/>
  </si>
  <si>
    <t>基礎壁
外気に接する部分</t>
    <rPh sb="0" eb="3">
      <t>キソカベ</t>
    </rPh>
    <rPh sb="4" eb="6">
      <t>ガイキ</t>
    </rPh>
    <rPh sb="7" eb="8">
      <t>セッ</t>
    </rPh>
    <rPh sb="10" eb="12">
      <t>ブブン</t>
    </rPh>
    <phoneticPr fontId="12"/>
  </si>
  <si>
    <t>中空層の仕様</t>
  </si>
  <si>
    <t>1～4地域</t>
    <rPh sb="3" eb="5">
      <t>チイキ</t>
    </rPh>
    <phoneticPr fontId="12"/>
  </si>
  <si>
    <t>熱貫流率：設計値</t>
    <phoneticPr fontId="12"/>
  </si>
  <si>
    <t>熱貫流率：基準値</t>
    <phoneticPr fontId="12"/>
  </si>
  <si>
    <r>
      <t>日射熱取得率</t>
    </r>
    <r>
      <rPr>
        <sz val="11"/>
        <rFont val="Meiryo UI"/>
        <family val="3"/>
        <charset val="128"/>
      </rPr>
      <t>：設計値</t>
    </r>
    <rPh sb="0" eb="2">
      <t>ニッシャ</t>
    </rPh>
    <rPh sb="2" eb="3">
      <t>ネツ</t>
    </rPh>
    <rPh sb="3" eb="5">
      <t>シュトク</t>
    </rPh>
    <rPh sb="5" eb="6">
      <t>リツ</t>
    </rPh>
    <phoneticPr fontId="12"/>
  </si>
  <si>
    <r>
      <t>日射熱取得率</t>
    </r>
    <r>
      <rPr>
        <sz val="11"/>
        <rFont val="Meiryo UI"/>
        <family val="3"/>
        <charset val="128"/>
      </rPr>
      <t>：基準値</t>
    </r>
    <rPh sb="0" eb="2">
      <t>ニッシャ</t>
    </rPh>
    <rPh sb="2" eb="3">
      <t>ネツ</t>
    </rPh>
    <rPh sb="3" eb="5">
      <t>シュトク</t>
    </rPh>
    <rPh sb="5" eb="6">
      <t>リツ</t>
    </rPh>
    <phoneticPr fontId="12"/>
  </si>
  <si>
    <t>戸の仕様</t>
  </si>
  <si>
    <t>外皮基準：断熱仕様</t>
  </si>
  <si>
    <t>外皮基準：ドア</t>
  </si>
  <si>
    <t>一次エネ基準：設備仕様</t>
    <rPh sb="0" eb="2">
      <t>イチジ</t>
    </rPh>
    <phoneticPr fontId="12"/>
  </si>
  <si>
    <t>冷房方式</t>
  </si>
  <si>
    <t>共通</t>
    <rPh sb="0" eb="2">
      <t>キョウツウ</t>
    </rPh>
    <phoneticPr fontId="12"/>
  </si>
  <si>
    <t>1234地域</t>
    <rPh sb="4" eb="6">
      <t>チイキ</t>
    </rPh>
    <phoneticPr fontId="12"/>
  </si>
  <si>
    <t>567地域</t>
    <rPh sb="3" eb="5">
      <t>チイキ</t>
    </rPh>
    <phoneticPr fontId="12"/>
  </si>
  <si>
    <t>8地域</t>
    <rPh sb="1" eb="3">
      <t>チイキ</t>
    </rPh>
    <phoneticPr fontId="12"/>
  </si>
  <si>
    <t>熱抵抗</t>
    <rPh sb="0" eb="3">
      <t>ネツテイコウ</t>
    </rPh>
    <phoneticPr fontId="12"/>
  </si>
  <si>
    <t>出力帳票</t>
    <rPh sb="0" eb="2">
      <t>シュツリョク</t>
    </rPh>
    <rPh sb="2" eb="4">
      <t>チョウヒョウ</t>
    </rPh>
    <phoneticPr fontId="12"/>
  </si>
  <si>
    <t>ガラスの仕様・中空層の仕様</t>
    <phoneticPr fontId="12"/>
  </si>
  <si>
    <t>暖房方式</t>
    <rPh sb="2" eb="4">
      <t>ホウシキ</t>
    </rPh>
    <phoneticPr fontId="12"/>
  </si>
  <si>
    <t>住戸全体を冷房</t>
    <phoneticPr fontId="12"/>
  </si>
  <si>
    <t>居室のみを冷房</t>
    <phoneticPr fontId="12"/>
  </si>
  <si>
    <t>換気方式</t>
    <rPh sb="0" eb="2">
      <t>カンキ</t>
    </rPh>
    <rPh sb="2" eb="4">
      <t>ホウシキ</t>
    </rPh>
    <phoneticPr fontId="12"/>
  </si>
  <si>
    <t>冷房方式</t>
    <rPh sb="0" eb="2">
      <t>レイボウ</t>
    </rPh>
    <rPh sb="2" eb="4">
      <t>ホウシキ</t>
    </rPh>
    <phoneticPr fontId="12"/>
  </si>
  <si>
    <t>電気ヒートポンプ給湯機【エコキュート】のJIS効率が下記以上のもの</t>
    <phoneticPr fontId="12"/>
  </si>
  <si>
    <t xml:space="preserve"> 3.5 以上（1地域）、3.2 以上（2地域）、3.0 以上（3地域）、2.9 以上（4地域）</t>
    <phoneticPr fontId="12"/>
  </si>
  <si>
    <t>ガラスの仕様</t>
    <phoneticPr fontId="12"/>
  </si>
  <si>
    <t>5～8地域
ひさし等
ある所</t>
    <rPh sb="3" eb="5">
      <t>チイキ</t>
    </rPh>
    <rPh sb="9" eb="10">
      <t>ナド</t>
    </rPh>
    <rPh sb="13" eb="14">
      <t>トコロ</t>
    </rPh>
    <phoneticPr fontId="12"/>
  </si>
  <si>
    <t>5～8地域
ひさし等
ない所
U大</t>
    <rPh sb="3" eb="5">
      <t>チイキ</t>
    </rPh>
    <rPh sb="9" eb="10">
      <t>ナド</t>
    </rPh>
    <rPh sb="13" eb="14">
      <t>トコロ</t>
    </rPh>
    <rPh sb="16" eb="17">
      <t>ダイ</t>
    </rPh>
    <phoneticPr fontId="12"/>
  </si>
  <si>
    <t>5～8地域
ひさし等
ない所
η大</t>
    <rPh sb="3" eb="5">
      <t>チイキ</t>
    </rPh>
    <rPh sb="9" eb="10">
      <t>ナド</t>
    </rPh>
    <rPh sb="13" eb="14">
      <t>トコロ</t>
    </rPh>
    <rPh sb="16" eb="17">
      <t>ダイ</t>
    </rPh>
    <phoneticPr fontId="12"/>
  </si>
  <si>
    <t>地域の区分</t>
    <rPh sb="0" eb="2">
      <t>チイキ</t>
    </rPh>
    <rPh sb="3" eb="5">
      <t>クブン</t>
    </rPh>
    <phoneticPr fontId="12"/>
  </si>
  <si>
    <t>樹脂_又は木_と金属の複合材料製建具_三層複層ガラス_Low_E１枚</t>
    <phoneticPr fontId="35"/>
  </si>
  <si>
    <t>電気ヒートポンプ給湯機【エコキュート】のJIS効率が 3.5 以上(1地域)、3.2 以上(2地域)、3.0 以上(3地域)、2.9 以上(4地域)以上のもの</t>
    <phoneticPr fontId="12"/>
  </si>
  <si>
    <t>白色</t>
    <rPh sb="0" eb="2">
      <t>シロイロ</t>
    </rPh>
    <phoneticPr fontId="12"/>
  </si>
  <si>
    <t>：入力は不要です。入力しても内容は反映されません。</t>
    <rPh sb="1" eb="3">
      <t>ニュウリョク</t>
    </rPh>
    <rPh sb="4" eb="6">
      <t>フヨウ</t>
    </rPh>
    <rPh sb="9" eb="11">
      <t>ニュウリョク</t>
    </rPh>
    <rPh sb="14" eb="16">
      <t>ナイヨウ</t>
    </rPh>
    <rPh sb="17" eb="19">
      <t>ハンエイ</t>
    </rPh>
    <phoneticPr fontId="12"/>
  </si>
  <si>
    <r>
      <rPr>
        <sz val="11"/>
        <rFont val="Segoe UI Symbol"/>
        <family val="3"/>
      </rPr>
      <t>☐</t>
    </r>
    <r>
      <rPr>
        <sz val="11"/>
        <rFont val="BIZ UDPゴシック"/>
        <family val="3"/>
        <charset val="128"/>
      </rPr>
      <t>　</t>
    </r>
    <phoneticPr fontId="12"/>
  </si>
  <si>
    <t>：クリックして該当箇所にチェック ✓ してください。</t>
    <phoneticPr fontId="12"/>
  </si>
  <si>
    <t>：自動で表示されます。入力は出来ません。</t>
    <rPh sb="1" eb="3">
      <t>ジドウ</t>
    </rPh>
    <rPh sb="4" eb="6">
      <t>ヒョウジ</t>
    </rPh>
    <rPh sb="11" eb="13">
      <t>ニュウリョク</t>
    </rPh>
    <rPh sb="14" eb="16">
      <t>デキ</t>
    </rPh>
    <phoneticPr fontId="12"/>
  </si>
  <si>
    <t>：入力ができます。</t>
    <rPh sb="1" eb="3">
      <t>ニュウリョク</t>
    </rPh>
    <phoneticPr fontId="12"/>
  </si>
  <si>
    <t>国交省資料ライブラリ：ー住宅の省エネルギー基準と評価方法2024【戸建住宅版】</t>
    <rPh sb="0" eb="3">
      <t>コッコウショウ</t>
    </rPh>
    <rPh sb="3" eb="5">
      <t>シリョウ</t>
    </rPh>
    <phoneticPr fontId="12"/>
  </si>
  <si>
    <t>https://www.mlit.go.jp/common/001627022.pdf</t>
    <phoneticPr fontId="12"/>
  </si>
  <si>
    <t>注：『自己適合宣言書と同附属書』を添付すること</t>
    <phoneticPr fontId="12"/>
  </si>
  <si>
    <t>住戸全体を暖房　　</t>
    <rPh sb="0" eb="2">
      <t>ジュウコ</t>
    </rPh>
    <rPh sb="2" eb="4">
      <t>ゼンタイ</t>
    </rPh>
    <rPh sb="5" eb="7">
      <t>ダンボウ</t>
    </rPh>
    <phoneticPr fontId="12"/>
  </si>
  <si>
    <t>住戸全体を冷房　　</t>
    <rPh sb="0" eb="2">
      <t>ジュウコ</t>
    </rPh>
    <rPh sb="2" eb="4">
      <t>ゼンタイ</t>
    </rPh>
    <rPh sb="5" eb="7">
      <t>レイボウ</t>
    </rPh>
    <phoneticPr fontId="12"/>
  </si>
  <si>
    <t>居室のみを冷房　　</t>
    <rPh sb="0" eb="2">
      <t>キョシツ</t>
    </rPh>
    <rPh sb="5" eb="7">
      <t>レイボウ</t>
    </rPh>
    <phoneticPr fontId="12"/>
  </si>
  <si>
    <t>二層複層ガラス_Low_E</t>
    <phoneticPr fontId="26"/>
  </si>
  <si>
    <t>二層複層ガラス_一般</t>
    <rPh sb="8" eb="10">
      <t>イッパン</t>
    </rPh>
    <phoneticPr fontId="26"/>
  </si>
  <si>
    <t>　①　下記にセルの説明を記載します。</t>
    <rPh sb="3" eb="5">
      <t>カキ</t>
    </rPh>
    <rPh sb="9" eb="11">
      <t>セツメイ</t>
    </rPh>
    <rPh sb="12" eb="14">
      <t>キサイ</t>
    </rPh>
    <phoneticPr fontId="12"/>
  </si>
  <si>
    <t>　◎　Windowsで作成、テストを実施しました。Macやタブレットでのお問合せには誠に申し訳ございませんが対応いたしかねます。</t>
    <rPh sb="11" eb="13">
      <t>サクセイ</t>
    </rPh>
    <rPh sb="18" eb="20">
      <t>ジッシ</t>
    </rPh>
    <rPh sb="37" eb="39">
      <t>トイアワ</t>
    </rPh>
    <phoneticPr fontId="12"/>
  </si>
  <si>
    <t>本ツールの機能、操作について</t>
    <rPh sb="0" eb="1">
      <t>ホン</t>
    </rPh>
    <rPh sb="5" eb="7">
      <t>キノウ</t>
    </rPh>
    <rPh sb="8" eb="10">
      <t>ソウサ</t>
    </rPh>
    <phoneticPr fontId="12"/>
  </si>
  <si>
    <t>設備仕様</t>
    <rPh sb="0" eb="4">
      <t>セツビシヨウ</t>
    </rPh>
    <phoneticPr fontId="26"/>
  </si>
  <si>
    <t>設備仕様</t>
    <rPh sb="0" eb="2">
      <t>セツビ</t>
    </rPh>
    <rPh sb="2" eb="4">
      <t>シヨウ</t>
    </rPh>
    <phoneticPr fontId="26"/>
  </si>
  <si>
    <t>【主たる居室】</t>
    <phoneticPr fontId="12"/>
  </si>
  <si>
    <t>【その他の居室】</t>
    <phoneticPr fontId="12"/>
  </si>
  <si>
    <t>【主たる居室】</t>
    <phoneticPr fontId="12"/>
  </si>
  <si>
    <t>【その他の居室】</t>
    <phoneticPr fontId="12"/>
  </si>
  <si>
    <t>設備仕様</t>
    <rPh sb="0" eb="2">
      <t>セツビ</t>
    </rPh>
    <rPh sb="2" eb="4">
      <t>シヨウ</t>
    </rPh>
    <phoneticPr fontId="12"/>
  </si>
  <si>
    <t>パネルラジエーターで以下の熱源とし、かつ配管に断熱被覆があるもの
【熱源機】石油潜熱回収型温水暖房機 【エコフィール】 の熱効率87.8% 以上のもの</t>
    <phoneticPr fontId="12"/>
  </si>
  <si>
    <t>パネルラジエーターで以下の熱源とし、かつ配管に断熱被覆があるもの
【熱源機】ガス潜熱回収型温水暖房機 【エコジョーズ】 の熱効率82.5% 以上のもの</t>
    <phoneticPr fontId="12"/>
  </si>
  <si>
    <t>パネルラジエーターで以下の熱源とし、かつ配管に断熱被覆があるもの
【熱源機】電気ヒートポンプ温水暖房機 （フロン系冷媒に限る）</t>
    <phoneticPr fontId="12"/>
  </si>
  <si>
    <r>
      <rPr>
        <sz val="11"/>
        <rFont val="BIZ UDPゴシック"/>
        <family val="3"/>
        <charset val="128"/>
      </rPr>
      <t>土間床等の
外周部分の</t>
    </r>
    <r>
      <rPr>
        <sz val="14"/>
        <rFont val="BIZ UDPゴシック"/>
        <family val="3"/>
        <charset val="128"/>
      </rPr>
      <t xml:space="preserve">
基礎壁</t>
    </r>
    <rPh sb="0" eb="4">
      <t>ドマユカトウ</t>
    </rPh>
    <rPh sb="6" eb="10">
      <t>ガイシュウブブン</t>
    </rPh>
    <phoneticPr fontId="26"/>
  </si>
  <si>
    <t>拡大率57％</t>
    <rPh sb="0" eb="3">
      <t>カクダイリツ</t>
    </rPh>
    <phoneticPr fontId="12"/>
  </si>
  <si>
    <t>暖房設備機器または放熱器を設置しない</t>
    <phoneticPr fontId="12"/>
  </si>
  <si>
    <t>冷房設備機器を設置しない</t>
    <phoneticPr fontId="12"/>
  </si>
  <si>
    <t>FF 暖房機の熱効率86.0% 以上のもの</t>
    <phoneticPr fontId="12"/>
  </si>
  <si>
    <t>－</t>
  </si>
  <si>
    <t>－</t>
    <phoneticPr fontId="12"/>
  </si>
  <si>
    <t>照明設備
（非居室の仕様）
右記のいずれかを選択</t>
    <phoneticPr fontId="12"/>
  </si>
  <si>
    <t>off：2，3，4，5，7，8，9，24，28，29，30，31，32，33，34，35</t>
    <phoneticPr fontId="12"/>
  </si>
  <si>
    <t>off：1，2，4，5，7，8，9，24，28，29，30，31，32，33，34，35</t>
    <phoneticPr fontId="12"/>
  </si>
  <si>
    <t>off：1，3</t>
    <phoneticPr fontId="12"/>
  </si>
  <si>
    <t>１２３４地域</t>
    <rPh sb="4" eb="6">
      <t>チイキ</t>
    </rPh>
    <phoneticPr fontId="12"/>
  </si>
  <si>
    <t>off：21，22，40，41，42，43</t>
    <phoneticPr fontId="12"/>
  </si>
  <si>
    <t>off：20，21，40，41，42，43</t>
    <phoneticPr fontId="12"/>
  </si>
  <si>
    <t>off：20，22</t>
    <phoneticPr fontId="12"/>
  </si>
  <si>
    <t>on：21　／　off：41，20，22</t>
    <phoneticPr fontId="12"/>
  </si>
  <si>
    <t>on：21　／　off：40，20，22</t>
    <phoneticPr fontId="12"/>
  </si>
  <si>
    <t>on：21　／　off：43，20，22</t>
    <phoneticPr fontId="12"/>
  </si>
  <si>
    <t>on：21　／　off：42，20，22</t>
    <phoneticPr fontId="12"/>
  </si>
  <si>
    <t>off：15，16，17，27</t>
    <phoneticPr fontId="12"/>
  </si>
  <si>
    <t>off：14，16，17，27</t>
    <phoneticPr fontId="12"/>
  </si>
  <si>
    <t>off：14，15，16，27</t>
    <phoneticPr fontId="12"/>
  </si>
  <si>
    <t>off：14，15，17</t>
    <phoneticPr fontId="12"/>
  </si>
  <si>
    <t>on：16　／　off：14，15，17</t>
    <phoneticPr fontId="12"/>
  </si>
  <si>
    <t>５６７地域</t>
    <rPh sb="3" eb="5">
      <t>チイキ</t>
    </rPh>
    <phoneticPr fontId="12"/>
  </si>
  <si>
    <t>off：2，31，4，5，37，7，8，9，32，33，38，34，35，36</t>
    <phoneticPr fontId="12"/>
  </si>
  <si>
    <t>off：1，31</t>
    <phoneticPr fontId="12"/>
  </si>
  <si>
    <t>off：1，2，4，5，37，7，8，9，32，33，38，34，35，36</t>
    <phoneticPr fontId="12"/>
  </si>
  <si>
    <t>off：28，29，39，40，41，42</t>
    <phoneticPr fontId="12"/>
  </si>
  <si>
    <t>off：27，28，39，40，41，42</t>
    <phoneticPr fontId="12"/>
  </si>
  <si>
    <t>on：28　／　off：40，27，29</t>
    <phoneticPr fontId="12"/>
  </si>
  <si>
    <t>on：28　／　off：39，27，29</t>
    <phoneticPr fontId="12"/>
  </si>
  <si>
    <t>on：28　／　off：42，27，29</t>
    <phoneticPr fontId="12"/>
  </si>
  <si>
    <t>on：28　／　off：41，27，29</t>
    <phoneticPr fontId="12"/>
  </si>
  <si>
    <t>８地域</t>
    <rPh sb="1" eb="3">
      <t>チイキ</t>
    </rPh>
    <phoneticPr fontId="12"/>
  </si>
  <si>
    <t>on：21　／　off：23，20，22</t>
  </si>
  <si>
    <t>on：21　／　off：24，20，22</t>
  </si>
  <si>
    <t>on：21　／　off：25，20，22</t>
  </si>
  <si>
    <t>off：21，22，23，24，25，26</t>
  </si>
  <si>
    <t>on：21　／　off：26，20，22</t>
  </si>
  <si>
    <t>off：20，21，23，24，25，26</t>
  </si>
  <si>
    <t>off：27，29</t>
    <phoneticPr fontId="12"/>
  </si>
  <si>
    <r>
      <rPr>
        <sz val="11"/>
        <color rgb="FFFF0000"/>
        <rFont val="Meiryo UI"/>
        <family val="3"/>
        <charset val="128"/>
      </rPr>
      <t>on：2　／　</t>
    </r>
    <r>
      <rPr>
        <sz val="11"/>
        <color rgb="FF0000FF"/>
        <rFont val="Meiryo UI"/>
        <family val="3"/>
        <charset val="128"/>
      </rPr>
      <t>off：5，24，28</t>
    </r>
    <r>
      <rPr>
        <sz val="11"/>
        <color rgb="FFFF0000"/>
        <rFont val="Meiryo UI"/>
        <family val="3"/>
        <charset val="128"/>
      </rPr>
      <t>，1，3</t>
    </r>
    <phoneticPr fontId="12"/>
  </si>
  <si>
    <r>
      <rPr>
        <sz val="11"/>
        <color rgb="FFFF0000"/>
        <rFont val="Meiryo UI"/>
        <family val="3"/>
        <charset val="128"/>
      </rPr>
      <t>on：2　／　</t>
    </r>
    <r>
      <rPr>
        <sz val="11"/>
        <color rgb="FF0000FF"/>
        <rFont val="Meiryo UI"/>
        <family val="3"/>
        <charset val="128"/>
      </rPr>
      <t>on：4　／　off：8，9，5，24，28，</t>
    </r>
    <r>
      <rPr>
        <sz val="11"/>
        <color rgb="FFFF0000"/>
        <rFont val="Meiryo UI"/>
        <family val="3"/>
        <charset val="128"/>
      </rPr>
      <t>1，3</t>
    </r>
    <phoneticPr fontId="12"/>
  </si>
  <si>
    <r>
      <t>on：</t>
    </r>
    <r>
      <rPr>
        <sz val="11"/>
        <color rgb="FFFF0000"/>
        <rFont val="Meiryo UI"/>
        <family val="3"/>
        <charset val="128"/>
      </rPr>
      <t>2，</t>
    </r>
    <r>
      <rPr>
        <sz val="11"/>
        <color rgb="FF0000FF"/>
        <rFont val="Meiryo UI"/>
        <family val="3"/>
        <charset val="128"/>
      </rPr>
      <t>4　／　off：7，9，5，24，28</t>
    </r>
    <r>
      <rPr>
        <sz val="11"/>
        <color rgb="FFFF0000"/>
        <rFont val="Meiryo UI"/>
        <family val="3"/>
        <charset val="128"/>
      </rPr>
      <t>，1，3</t>
    </r>
    <phoneticPr fontId="12"/>
  </si>
  <si>
    <r>
      <t>on：</t>
    </r>
    <r>
      <rPr>
        <sz val="11"/>
        <color rgb="FFFF0000"/>
        <rFont val="Meiryo UI"/>
        <family val="3"/>
        <charset val="128"/>
      </rPr>
      <t>2，</t>
    </r>
    <r>
      <rPr>
        <sz val="11"/>
        <color rgb="FF0000FF"/>
        <rFont val="Meiryo UI"/>
        <family val="3"/>
        <charset val="128"/>
      </rPr>
      <t>4　／　off：7，8，5，24，28</t>
    </r>
    <r>
      <rPr>
        <sz val="11"/>
        <color rgb="FFFF0000"/>
        <rFont val="Meiryo UI"/>
        <family val="3"/>
        <charset val="128"/>
      </rPr>
      <t>，1，3</t>
    </r>
    <phoneticPr fontId="12"/>
  </si>
  <si>
    <r>
      <rPr>
        <sz val="11"/>
        <color rgb="FFFF0000"/>
        <rFont val="Meiryo UI"/>
        <family val="3"/>
        <charset val="128"/>
      </rPr>
      <t>on：2　／　</t>
    </r>
    <r>
      <rPr>
        <sz val="11"/>
        <color rgb="FF0000FF"/>
        <rFont val="Meiryo UI"/>
        <family val="3"/>
        <charset val="128"/>
      </rPr>
      <t>off：4，24，28，7，8，9</t>
    </r>
    <r>
      <rPr>
        <sz val="11"/>
        <color rgb="FFFF0000"/>
        <rFont val="Meiryo UI"/>
        <family val="3"/>
        <charset val="128"/>
      </rPr>
      <t>，1，3</t>
    </r>
    <phoneticPr fontId="12"/>
  </si>
  <si>
    <r>
      <rPr>
        <sz val="11"/>
        <color rgb="FFFF0000"/>
        <rFont val="Meiryo UI"/>
        <family val="3"/>
        <charset val="128"/>
      </rPr>
      <t>on：2　／　</t>
    </r>
    <r>
      <rPr>
        <sz val="11"/>
        <color rgb="FF0000FF"/>
        <rFont val="Meiryo UI"/>
        <family val="3"/>
        <charset val="128"/>
      </rPr>
      <t>off：4，5，28，7，8，9</t>
    </r>
    <r>
      <rPr>
        <sz val="11"/>
        <color rgb="FFFF0000"/>
        <rFont val="Meiryo UI"/>
        <family val="3"/>
        <charset val="128"/>
      </rPr>
      <t>，1，3</t>
    </r>
    <phoneticPr fontId="12"/>
  </si>
  <si>
    <r>
      <rPr>
        <sz val="11"/>
        <color rgb="FFFF0000"/>
        <rFont val="Meiryo UI"/>
        <family val="3"/>
        <charset val="128"/>
      </rPr>
      <t>on：2　／　</t>
    </r>
    <r>
      <rPr>
        <sz val="11"/>
        <color rgb="FF0000FF"/>
        <rFont val="Meiryo UI"/>
        <family val="3"/>
        <charset val="128"/>
      </rPr>
      <t>off：4，5，24，7，8，9</t>
    </r>
    <r>
      <rPr>
        <sz val="11"/>
        <color rgb="FFFF0000"/>
        <rFont val="Meiryo UI"/>
        <family val="3"/>
        <charset val="128"/>
      </rPr>
      <t>，1，3</t>
    </r>
    <phoneticPr fontId="12"/>
  </si>
  <si>
    <r>
      <rPr>
        <sz val="11"/>
        <color rgb="FFFF0000"/>
        <rFont val="Meiryo UI"/>
        <family val="3"/>
        <charset val="128"/>
      </rPr>
      <t>on：2　／　</t>
    </r>
    <r>
      <rPr>
        <sz val="11"/>
        <color rgb="FF0000FF"/>
        <rFont val="Meiryo UI"/>
        <family val="3"/>
        <charset val="128"/>
      </rPr>
      <t>off：30，34，35，</t>
    </r>
    <r>
      <rPr>
        <sz val="11"/>
        <color rgb="FFFF0000"/>
        <rFont val="Meiryo UI"/>
        <family val="3"/>
        <charset val="128"/>
      </rPr>
      <t>1，3</t>
    </r>
    <phoneticPr fontId="12"/>
  </si>
  <si>
    <r>
      <t>on：</t>
    </r>
    <r>
      <rPr>
        <sz val="11"/>
        <color rgb="FFFF0000"/>
        <rFont val="Meiryo UI"/>
        <family val="3"/>
        <charset val="128"/>
      </rPr>
      <t>2，</t>
    </r>
    <r>
      <rPr>
        <sz val="11"/>
        <color rgb="FF0000FF"/>
        <rFont val="Meiryo UI"/>
        <family val="3"/>
        <charset val="128"/>
      </rPr>
      <t>29　／　off：32，33，30，34，35</t>
    </r>
    <r>
      <rPr>
        <sz val="11"/>
        <color rgb="FFFF0000"/>
        <rFont val="Meiryo UI"/>
        <family val="3"/>
        <charset val="128"/>
      </rPr>
      <t>，1，3</t>
    </r>
    <phoneticPr fontId="12"/>
  </si>
  <si>
    <r>
      <t>on：</t>
    </r>
    <r>
      <rPr>
        <sz val="11"/>
        <color rgb="FFFF0000"/>
        <rFont val="Meiryo UI"/>
        <family val="3"/>
        <charset val="128"/>
      </rPr>
      <t>2，</t>
    </r>
    <r>
      <rPr>
        <sz val="11"/>
        <color rgb="FF0000FF"/>
        <rFont val="Meiryo UI"/>
        <family val="3"/>
        <charset val="128"/>
      </rPr>
      <t>29　／　off：31，33，30，34，35</t>
    </r>
    <r>
      <rPr>
        <sz val="11"/>
        <color rgb="FFFF0000"/>
        <rFont val="Meiryo UI"/>
        <family val="3"/>
        <charset val="128"/>
      </rPr>
      <t>，1，3</t>
    </r>
    <phoneticPr fontId="12"/>
  </si>
  <si>
    <r>
      <t>on：</t>
    </r>
    <r>
      <rPr>
        <sz val="11"/>
        <color rgb="FFFF0000"/>
        <rFont val="Meiryo UI"/>
        <family val="3"/>
        <charset val="128"/>
      </rPr>
      <t>2，</t>
    </r>
    <r>
      <rPr>
        <sz val="11"/>
        <color rgb="FF0000FF"/>
        <rFont val="Meiryo UI"/>
        <family val="3"/>
        <charset val="128"/>
      </rPr>
      <t>29　／　off：31，32，30，34，35</t>
    </r>
    <r>
      <rPr>
        <sz val="11"/>
        <color rgb="FFFF0000"/>
        <rFont val="Meiryo UI"/>
        <family val="3"/>
        <charset val="128"/>
      </rPr>
      <t>，1，3</t>
    </r>
    <phoneticPr fontId="12"/>
  </si>
  <si>
    <r>
      <rPr>
        <sz val="11"/>
        <color rgb="FFFF0000"/>
        <rFont val="Meiryo UI"/>
        <family val="3"/>
        <charset val="128"/>
      </rPr>
      <t>on：2　／　</t>
    </r>
    <r>
      <rPr>
        <sz val="11"/>
        <color rgb="FF0000FF"/>
        <rFont val="Meiryo UI"/>
        <family val="3"/>
        <charset val="128"/>
      </rPr>
      <t>off：29，34，35，31，32，33</t>
    </r>
    <r>
      <rPr>
        <sz val="11"/>
        <color rgb="FFFF0000"/>
        <rFont val="Meiryo UI"/>
        <family val="3"/>
        <charset val="128"/>
      </rPr>
      <t>，1，3</t>
    </r>
    <phoneticPr fontId="12"/>
  </si>
  <si>
    <r>
      <rPr>
        <sz val="11"/>
        <color rgb="FFFF0000"/>
        <rFont val="Meiryo UI"/>
        <family val="3"/>
        <charset val="128"/>
      </rPr>
      <t>on：2　／　</t>
    </r>
    <r>
      <rPr>
        <sz val="11"/>
        <color rgb="FF0000FF"/>
        <rFont val="Meiryo UI"/>
        <family val="3"/>
        <charset val="128"/>
      </rPr>
      <t>off：29，30，35，31，32，33</t>
    </r>
    <r>
      <rPr>
        <sz val="11"/>
        <color rgb="FFFF0000"/>
        <rFont val="Meiryo UI"/>
        <family val="3"/>
        <charset val="128"/>
      </rPr>
      <t>，1，3</t>
    </r>
    <phoneticPr fontId="12"/>
  </si>
  <si>
    <r>
      <rPr>
        <sz val="11"/>
        <color rgb="FFFF0000"/>
        <rFont val="Meiryo UI"/>
        <family val="3"/>
        <charset val="128"/>
      </rPr>
      <t>on：2　／　</t>
    </r>
    <r>
      <rPr>
        <sz val="11"/>
        <color rgb="FF0000FF"/>
        <rFont val="Meiryo UI"/>
        <family val="3"/>
        <charset val="128"/>
      </rPr>
      <t>off：29，30，34，31，32，33</t>
    </r>
    <r>
      <rPr>
        <sz val="11"/>
        <color rgb="FFFF0000"/>
        <rFont val="Meiryo UI"/>
        <family val="3"/>
        <charset val="128"/>
      </rPr>
      <t>，1，3</t>
    </r>
    <phoneticPr fontId="12"/>
  </si>
  <si>
    <r>
      <rPr>
        <sz val="11"/>
        <color rgb="FFFF0000"/>
        <rFont val="Meiryo UI"/>
        <family val="3"/>
        <charset val="128"/>
      </rPr>
      <t>on：2　／　</t>
    </r>
    <r>
      <rPr>
        <sz val="11"/>
        <color rgb="FF0000FF"/>
        <rFont val="Meiryo UI"/>
        <family val="3"/>
        <charset val="128"/>
      </rPr>
      <t>off：5，37</t>
    </r>
    <r>
      <rPr>
        <sz val="11"/>
        <color rgb="FFFF0000"/>
        <rFont val="Meiryo UI"/>
        <family val="3"/>
        <charset val="128"/>
      </rPr>
      <t>，1，3</t>
    </r>
    <r>
      <rPr>
        <sz val="11"/>
        <color rgb="FF0000FF"/>
        <rFont val="Meiryo UI"/>
        <family val="3"/>
        <charset val="128"/>
      </rPr>
      <t>1</t>
    </r>
    <phoneticPr fontId="12"/>
  </si>
  <si>
    <r>
      <t>on：</t>
    </r>
    <r>
      <rPr>
        <sz val="11"/>
        <color rgb="FFFF0000"/>
        <rFont val="Meiryo UI"/>
        <family val="3"/>
        <charset val="128"/>
      </rPr>
      <t>2，</t>
    </r>
    <r>
      <rPr>
        <sz val="11"/>
        <color rgb="FF0000FF"/>
        <rFont val="Meiryo UI"/>
        <family val="3"/>
        <charset val="128"/>
      </rPr>
      <t>4　／　off：8，9，5，37</t>
    </r>
    <r>
      <rPr>
        <sz val="11"/>
        <color rgb="FFFF0000"/>
        <rFont val="Meiryo UI"/>
        <family val="3"/>
        <charset val="128"/>
      </rPr>
      <t>，1，3</t>
    </r>
    <r>
      <rPr>
        <sz val="11"/>
        <color rgb="FF0000FF"/>
        <rFont val="Meiryo UI"/>
        <family val="3"/>
        <charset val="128"/>
      </rPr>
      <t>1</t>
    </r>
    <phoneticPr fontId="12"/>
  </si>
  <si>
    <r>
      <t>on：</t>
    </r>
    <r>
      <rPr>
        <sz val="11"/>
        <color rgb="FFFF0000"/>
        <rFont val="Meiryo UI"/>
        <family val="3"/>
        <charset val="128"/>
      </rPr>
      <t>2，</t>
    </r>
    <r>
      <rPr>
        <sz val="11"/>
        <color rgb="FF0000FF"/>
        <rFont val="Meiryo UI"/>
        <family val="3"/>
        <charset val="128"/>
      </rPr>
      <t>4　／　off：7，9，5，37</t>
    </r>
    <r>
      <rPr>
        <sz val="11"/>
        <color rgb="FFFF0000"/>
        <rFont val="Meiryo UI"/>
        <family val="3"/>
        <charset val="128"/>
      </rPr>
      <t>，1，3</t>
    </r>
    <r>
      <rPr>
        <sz val="11"/>
        <color rgb="FF0000FF"/>
        <rFont val="Meiryo UI"/>
        <family val="3"/>
        <charset val="128"/>
      </rPr>
      <t>1</t>
    </r>
    <phoneticPr fontId="12"/>
  </si>
  <si>
    <r>
      <t>on：</t>
    </r>
    <r>
      <rPr>
        <sz val="11"/>
        <color rgb="FFFF0000"/>
        <rFont val="Meiryo UI"/>
        <family val="3"/>
        <charset val="128"/>
      </rPr>
      <t>2，</t>
    </r>
    <r>
      <rPr>
        <sz val="11"/>
        <color rgb="FF0000FF"/>
        <rFont val="Meiryo UI"/>
        <family val="3"/>
        <charset val="128"/>
      </rPr>
      <t>4　／　off：7，8，5，37</t>
    </r>
    <r>
      <rPr>
        <sz val="11"/>
        <color rgb="FFFF0000"/>
        <rFont val="Meiryo UI"/>
        <family val="3"/>
        <charset val="128"/>
      </rPr>
      <t>，1，3</t>
    </r>
    <r>
      <rPr>
        <sz val="11"/>
        <color rgb="FF0000FF"/>
        <rFont val="Meiryo UI"/>
        <family val="3"/>
        <charset val="128"/>
      </rPr>
      <t>1</t>
    </r>
    <phoneticPr fontId="12"/>
  </si>
  <si>
    <r>
      <rPr>
        <sz val="11"/>
        <color rgb="FFFF0000"/>
        <rFont val="Meiryo UI"/>
        <family val="3"/>
        <charset val="128"/>
      </rPr>
      <t>on：2　／　</t>
    </r>
    <r>
      <rPr>
        <sz val="11"/>
        <color rgb="FF0000FF"/>
        <rFont val="Meiryo UI"/>
        <family val="3"/>
        <charset val="128"/>
      </rPr>
      <t>off：4，37，7，8，9</t>
    </r>
    <r>
      <rPr>
        <sz val="11"/>
        <color rgb="FFFF0000"/>
        <rFont val="Meiryo UI"/>
        <family val="3"/>
        <charset val="128"/>
      </rPr>
      <t>，1，3</t>
    </r>
    <r>
      <rPr>
        <sz val="11"/>
        <color rgb="FF0000FF"/>
        <rFont val="Meiryo UI"/>
        <family val="3"/>
        <charset val="128"/>
      </rPr>
      <t>1</t>
    </r>
    <phoneticPr fontId="12"/>
  </si>
  <si>
    <r>
      <rPr>
        <sz val="11"/>
        <color rgb="FFFF0000"/>
        <rFont val="Meiryo UI"/>
        <family val="3"/>
        <charset val="128"/>
      </rPr>
      <t>on：2　／　</t>
    </r>
    <r>
      <rPr>
        <sz val="11"/>
        <color rgb="FF0000FF"/>
        <rFont val="Meiryo UI"/>
        <family val="3"/>
        <charset val="128"/>
      </rPr>
      <t>off：4，5，7，8，9</t>
    </r>
    <r>
      <rPr>
        <sz val="11"/>
        <color rgb="FFFF0000"/>
        <rFont val="Meiryo UI"/>
        <family val="3"/>
        <charset val="128"/>
      </rPr>
      <t>，1，3</t>
    </r>
    <r>
      <rPr>
        <sz val="11"/>
        <color rgb="FF0000FF"/>
        <rFont val="Meiryo UI"/>
        <family val="3"/>
        <charset val="128"/>
      </rPr>
      <t>1</t>
    </r>
    <phoneticPr fontId="12"/>
  </si>
  <si>
    <r>
      <rPr>
        <sz val="11"/>
        <color rgb="FFFF0000"/>
        <rFont val="Meiryo UI"/>
        <family val="3"/>
        <charset val="128"/>
      </rPr>
      <t>on：2　／　</t>
    </r>
    <r>
      <rPr>
        <sz val="11"/>
        <color rgb="FF0000FF"/>
        <rFont val="Meiryo UI"/>
        <family val="3"/>
        <charset val="128"/>
      </rPr>
      <t>off：33，38</t>
    </r>
    <r>
      <rPr>
        <sz val="11"/>
        <color rgb="FFFF0000"/>
        <rFont val="Meiryo UI"/>
        <family val="3"/>
        <charset val="128"/>
      </rPr>
      <t>，1，3</t>
    </r>
    <r>
      <rPr>
        <sz val="11"/>
        <color rgb="FF0000FF"/>
        <rFont val="Meiryo UI"/>
        <family val="3"/>
        <charset val="128"/>
      </rPr>
      <t>1</t>
    </r>
    <phoneticPr fontId="12"/>
  </si>
  <si>
    <r>
      <t>on：</t>
    </r>
    <r>
      <rPr>
        <sz val="11"/>
        <color rgb="FFFF0000"/>
        <rFont val="Meiryo UI"/>
        <family val="3"/>
        <charset val="128"/>
      </rPr>
      <t>2，</t>
    </r>
    <r>
      <rPr>
        <sz val="11"/>
        <color rgb="FF0000FF"/>
        <rFont val="Meiryo UI"/>
        <family val="3"/>
        <charset val="128"/>
      </rPr>
      <t>32　／　off：35，36，33，38</t>
    </r>
    <r>
      <rPr>
        <sz val="11"/>
        <color rgb="FFFF0000"/>
        <rFont val="Meiryo UI"/>
        <family val="3"/>
        <charset val="128"/>
      </rPr>
      <t>，1，3</t>
    </r>
    <r>
      <rPr>
        <sz val="11"/>
        <color rgb="FF0000FF"/>
        <rFont val="Meiryo UI"/>
        <family val="3"/>
        <charset val="128"/>
      </rPr>
      <t>1</t>
    </r>
    <phoneticPr fontId="12"/>
  </si>
  <si>
    <r>
      <t>on：</t>
    </r>
    <r>
      <rPr>
        <sz val="11"/>
        <color rgb="FFFF0000"/>
        <rFont val="Meiryo UI"/>
        <family val="3"/>
        <charset val="128"/>
      </rPr>
      <t>2，</t>
    </r>
    <r>
      <rPr>
        <sz val="11"/>
        <color rgb="FF0000FF"/>
        <rFont val="Meiryo UI"/>
        <family val="3"/>
        <charset val="128"/>
      </rPr>
      <t>32　／　off：34，36，33，38</t>
    </r>
    <r>
      <rPr>
        <sz val="11"/>
        <color rgb="FFFF0000"/>
        <rFont val="Meiryo UI"/>
        <family val="3"/>
        <charset val="128"/>
      </rPr>
      <t>，1，3</t>
    </r>
    <r>
      <rPr>
        <sz val="11"/>
        <color rgb="FF0000FF"/>
        <rFont val="Meiryo UI"/>
        <family val="3"/>
        <charset val="128"/>
      </rPr>
      <t>1</t>
    </r>
    <phoneticPr fontId="12"/>
  </si>
  <si>
    <r>
      <t>on：</t>
    </r>
    <r>
      <rPr>
        <sz val="11"/>
        <color rgb="FFFF0000"/>
        <rFont val="Meiryo UI"/>
        <family val="3"/>
        <charset val="128"/>
      </rPr>
      <t>2，</t>
    </r>
    <r>
      <rPr>
        <sz val="11"/>
        <color rgb="FF0000FF"/>
        <rFont val="Meiryo UI"/>
        <family val="3"/>
        <charset val="128"/>
      </rPr>
      <t>32　／　off：34，35，33，38</t>
    </r>
    <r>
      <rPr>
        <sz val="11"/>
        <color rgb="FFFF0000"/>
        <rFont val="Meiryo UI"/>
        <family val="3"/>
        <charset val="128"/>
      </rPr>
      <t>，1，3</t>
    </r>
    <r>
      <rPr>
        <sz val="11"/>
        <color rgb="FF0000FF"/>
        <rFont val="Meiryo UI"/>
        <family val="3"/>
        <charset val="128"/>
      </rPr>
      <t>1</t>
    </r>
    <phoneticPr fontId="12"/>
  </si>
  <si>
    <r>
      <rPr>
        <sz val="11"/>
        <color rgb="FFFF0000"/>
        <rFont val="Meiryo UI"/>
        <family val="3"/>
        <charset val="128"/>
      </rPr>
      <t>on：2　／　</t>
    </r>
    <r>
      <rPr>
        <sz val="11"/>
        <color rgb="FF0000FF"/>
        <rFont val="Meiryo UI"/>
        <family val="3"/>
        <charset val="128"/>
      </rPr>
      <t>off：32，38，34，35，36</t>
    </r>
    <r>
      <rPr>
        <sz val="11"/>
        <color rgb="FFFF0000"/>
        <rFont val="Meiryo UI"/>
        <family val="3"/>
        <charset val="128"/>
      </rPr>
      <t>，1，3</t>
    </r>
    <r>
      <rPr>
        <sz val="11"/>
        <color rgb="FF0000FF"/>
        <rFont val="Meiryo UI"/>
        <family val="3"/>
        <charset val="128"/>
      </rPr>
      <t>1</t>
    </r>
    <phoneticPr fontId="12"/>
  </si>
  <si>
    <r>
      <rPr>
        <sz val="11"/>
        <color rgb="FFFF0000"/>
        <rFont val="Meiryo UI"/>
        <family val="3"/>
        <charset val="128"/>
      </rPr>
      <t>on：2　／　</t>
    </r>
    <r>
      <rPr>
        <sz val="11"/>
        <color rgb="FF0000FF"/>
        <rFont val="Meiryo UI"/>
        <family val="3"/>
        <charset val="128"/>
      </rPr>
      <t>off：32，33，34，35，36</t>
    </r>
    <r>
      <rPr>
        <sz val="11"/>
        <color rgb="FFFF0000"/>
        <rFont val="Meiryo UI"/>
        <family val="3"/>
        <charset val="128"/>
      </rPr>
      <t>，1，31</t>
    </r>
    <phoneticPr fontId="12"/>
  </si>
  <si>
    <t xml:space="preserve"> ガラスの仕様</t>
  </si>
  <si>
    <t>設計値</t>
  </si>
  <si>
    <r>
      <t>熱貫流率</t>
    </r>
    <r>
      <rPr>
        <sz val="10"/>
        <color theme="0" tint="-0.34998626667073579"/>
        <rFont val="BIZ UDPゴシック"/>
        <family val="3"/>
        <charset val="128"/>
      </rPr>
      <t>［W/(㎡･K)]</t>
    </r>
    <rPh sb="0" eb="1">
      <t>ネツ</t>
    </rPh>
    <rPh sb="1" eb="3">
      <t>カンリュウ</t>
    </rPh>
    <rPh sb="3" eb="4">
      <t>リツ</t>
    </rPh>
    <phoneticPr fontId="12"/>
  </si>
  <si>
    <r>
      <t>日射熱取得率</t>
    </r>
    <r>
      <rPr>
        <sz val="10"/>
        <color theme="0" tint="-0.34998626667073579"/>
        <rFont val="BIZ UDPゴシック"/>
        <family val="3"/>
        <charset val="128"/>
      </rPr>
      <t>［－］</t>
    </r>
    <rPh sb="0" eb="2">
      <t>ニッシャ</t>
    </rPh>
    <rPh sb="2" eb="3">
      <t>ネツ</t>
    </rPh>
    <rPh sb="3" eb="5">
      <t>シュトク</t>
    </rPh>
    <rPh sb="5" eb="6">
      <t>リツ</t>
    </rPh>
    <phoneticPr fontId="12"/>
  </si>
  <si>
    <t>8地域</t>
    <rPh sb="1" eb="3">
      <t>チイキ</t>
    </rPh>
    <phoneticPr fontId="12"/>
  </si>
  <si>
    <t>設置しない</t>
    <rPh sb="0" eb="2">
      <t>セッチ</t>
    </rPh>
    <phoneticPr fontId="12"/>
  </si>
  <si>
    <t>熱抵抗</t>
    <rPh sb="0" eb="1">
      <t>ネツ</t>
    </rPh>
    <rPh sb="1" eb="3">
      <t>テイコウ</t>
    </rPh>
    <phoneticPr fontId="12"/>
  </si>
  <si>
    <t>設計値</t>
    <rPh sb="0" eb="3">
      <t>セッケイチ</t>
    </rPh>
    <phoneticPr fontId="12"/>
  </si>
  <si>
    <t>仕様表　木造戸建て住宅（仕様基準）</t>
    <rPh sb="12" eb="16">
      <t>シヨウキジュン</t>
    </rPh>
    <phoneticPr fontId="26"/>
  </si>
  <si>
    <t>R切り捨て</t>
    <rPh sb="1" eb="2">
      <t>キ</t>
    </rPh>
    <rPh sb="3" eb="4">
      <t>ス</t>
    </rPh>
    <phoneticPr fontId="12"/>
  </si>
  <si>
    <r>
      <t xml:space="preserve"> ◇　本ツールは、住宅の省エネルギー基準の仕様基準に基づき、　</t>
    </r>
    <r>
      <rPr>
        <b/>
        <sz val="11"/>
        <rFont val="BIZ UDPゴシック"/>
        <family val="3"/>
        <charset val="128"/>
      </rPr>
      <t>「断熱構造とする部位</t>
    </r>
    <r>
      <rPr>
        <b/>
        <vertAlign val="superscript"/>
        <sz val="11"/>
        <rFont val="BIZ UDPゴシック"/>
        <family val="3"/>
        <charset val="128"/>
      </rPr>
      <t>＊1</t>
    </r>
    <r>
      <rPr>
        <b/>
        <sz val="11"/>
        <rFont val="BIZ UDPゴシック"/>
        <family val="3"/>
        <charset val="128"/>
      </rPr>
      <t>の断熱仕様・性能値」　</t>
    </r>
    <r>
      <rPr>
        <sz val="11"/>
        <rFont val="BIZ UDPゴシック"/>
        <family val="3"/>
        <charset val="128"/>
      </rPr>
      <t>、及び　</t>
    </r>
    <r>
      <rPr>
        <b/>
        <sz val="11"/>
        <rFont val="BIZ UDPゴシック"/>
        <family val="3"/>
        <charset val="128"/>
      </rPr>
      <t>「設備機器の仕様」　</t>
    </r>
    <r>
      <rPr>
        <sz val="11"/>
        <rFont val="BIZ UDPゴシック"/>
        <family val="3"/>
        <charset val="128"/>
      </rPr>
      <t>を入力したのち、一つの仕様表として出力(印刷)します。</t>
    </r>
    <rPh sb="3" eb="4">
      <t>ホン</t>
    </rPh>
    <rPh sb="9" eb="11">
      <t>ジュウタク</t>
    </rPh>
    <rPh sb="12" eb="13">
      <t>ショウ</t>
    </rPh>
    <rPh sb="18" eb="20">
      <t>キジュン</t>
    </rPh>
    <rPh sb="21" eb="25">
      <t>シヨウキジュン</t>
    </rPh>
    <rPh sb="26" eb="27">
      <t>モト</t>
    </rPh>
    <rPh sb="32" eb="34">
      <t>ダンネツ</t>
    </rPh>
    <rPh sb="34" eb="36">
      <t>コウゾウ</t>
    </rPh>
    <rPh sb="39" eb="41">
      <t>ブイ</t>
    </rPh>
    <rPh sb="44" eb="46">
      <t>ダンネツ</t>
    </rPh>
    <rPh sb="46" eb="48">
      <t>シヨウ</t>
    </rPh>
    <rPh sb="49" eb="52">
      <t>セイノウチ</t>
    </rPh>
    <rPh sb="55" eb="56">
      <t>オヨ</t>
    </rPh>
    <rPh sb="59" eb="61">
      <t>セツビ</t>
    </rPh>
    <rPh sb="61" eb="63">
      <t>キキ</t>
    </rPh>
    <rPh sb="64" eb="66">
      <t>シヨウ</t>
    </rPh>
    <rPh sb="69" eb="71">
      <t>ニュウリョク</t>
    </rPh>
    <rPh sb="76" eb="77">
      <t>ヒト</t>
    </rPh>
    <rPh sb="79" eb="82">
      <t>シヨウヒョウ</t>
    </rPh>
    <rPh sb="85" eb="87">
      <t>シュツリョク</t>
    </rPh>
    <rPh sb="88" eb="90">
      <t>インサツ</t>
    </rPh>
    <phoneticPr fontId="12"/>
  </si>
  <si>
    <t xml:space="preserve"> ◇　シート　「C 仕様表 （仕様基準）」　は、設計図書の一部として確認検査機関等への申請時に使用することができます。</t>
    <phoneticPr fontId="12"/>
  </si>
  <si>
    <t xml:space="preserve"> ◇　【国土交通省 改正建築物省エネ法オンライン講座】　の資料ライブラリーにて公開している下記資料を併せてご覧ください。　</t>
    <rPh sb="45" eb="47">
      <t>カキ</t>
    </rPh>
    <rPh sb="47" eb="49">
      <t>シリョウ</t>
    </rPh>
    <phoneticPr fontId="12"/>
  </si>
  <si>
    <t xml:space="preserve"> ※　（一社）日本サステナブル建築協会は、本ツールに関し何らの保証責任および賠償責任を負うものではありません。本ツールに関するお問い合わせは、省エネサポートセンター　「0120-882-177」　までお願いいたします。</t>
    <rPh sb="4" eb="5">
      <t>イチ</t>
    </rPh>
    <rPh sb="5" eb="6">
      <t>シャ</t>
    </rPh>
    <rPh sb="7" eb="9">
      <t>ニホン</t>
    </rPh>
    <rPh sb="15" eb="17">
      <t>ケンチク</t>
    </rPh>
    <rPh sb="17" eb="19">
      <t>キョウカイ</t>
    </rPh>
    <rPh sb="21" eb="22">
      <t>ホン</t>
    </rPh>
    <rPh sb="26" eb="27">
      <t>カン</t>
    </rPh>
    <rPh sb="28" eb="29">
      <t>ナン</t>
    </rPh>
    <rPh sb="31" eb="33">
      <t>ホショウ</t>
    </rPh>
    <rPh sb="33" eb="35">
      <t>セキニン</t>
    </rPh>
    <rPh sb="38" eb="40">
      <t>バイショウ</t>
    </rPh>
    <rPh sb="40" eb="42">
      <t>セキニン</t>
    </rPh>
    <rPh sb="43" eb="44">
      <t>オ</t>
    </rPh>
    <rPh sb="55" eb="56">
      <t>ホン</t>
    </rPh>
    <rPh sb="60" eb="61">
      <t>カン</t>
    </rPh>
    <rPh sb="64" eb="65">
      <t>ト</t>
    </rPh>
    <rPh sb="66" eb="67">
      <t>ア</t>
    </rPh>
    <rPh sb="101" eb="102">
      <t>ネガ</t>
    </rPh>
    <phoneticPr fontId="12"/>
  </si>
  <si>
    <t>　◎　入力するシートは、　「A 最初に入力してください　基本情報」　と　「B 仕様入力シート」　です。入力内容が自動的に　「C 仕様表（仕様基準）」　に反映されます。</t>
    <rPh sb="3" eb="5">
      <t>ニュウリョク</t>
    </rPh>
    <rPh sb="16" eb="18">
      <t>サイショ</t>
    </rPh>
    <rPh sb="19" eb="21">
      <t>ニュウリョク</t>
    </rPh>
    <rPh sb="28" eb="30">
      <t>キホン</t>
    </rPh>
    <rPh sb="30" eb="32">
      <t>ジョウホウ</t>
    </rPh>
    <rPh sb="39" eb="41">
      <t>シヨウ</t>
    </rPh>
    <rPh sb="41" eb="43">
      <t>ニュウリョク</t>
    </rPh>
    <rPh sb="51" eb="53">
      <t>ニュウリョク</t>
    </rPh>
    <rPh sb="53" eb="55">
      <t>ナイヨウ</t>
    </rPh>
    <rPh sb="56" eb="58">
      <t>ジドウ</t>
    </rPh>
    <rPh sb="58" eb="59">
      <t>テキ</t>
    </rPh>
    <rPh sb="64" eb="66">
      <t>シヨウ</t>
    </rPh>
    <rPh sb="66" eb="67">
      <t>ヒョウ</t>
    </rPh>
    <rPh sb="68" eb="70">
      <t>シヨウ</t>
    </rPh>
    <rPh sb="70" eb="72">
      <t>キジュン</t>
    </rPh>
    <rPh sb="76" eb="78">
      <t>ハンエイ</t>
    </rPh>
    <phoneticPr fontId="12"/>
  </si>
  <si>
    <t>　②　はじめに、　「A 最初に入力してください　基本情報」　シートに入力してください。</t>
    <rPh sb="35" eb="37">
      <t>ニュウリョク</t>
    </rPh>
    <phoneticPr fontId="12"/>
  </si>
  <si>
    <t>　③　つぎに、　　仕様入力シートに移動　▶　　の図をクリックして該当する地域の　「B 仕様入力シート」　に入力してください。</t>
    <rPh sb="9" eb="11">
      <t>シヨウ</t>
    </rPh>
    <rPh sb="11" eb="13">
      <t>ニュウリョク</t>
    </rPh>
    <rPh sb="17" eb="19">
      <t>イドウ</t>
    </rPh>
    <rPh sb="24" eb="25">
      <t>ズ</t>
    </rPh>
    <rPh sb="32" eb="34">
      <t>ガイトウ</t>
    </rPh>
    <rPh sb="36" eb="38">
      <t>チイキ</t>
    </rPh>
    <rPh sb="53" eb="55">
      <t>ニュウリョク</t>
    </rPh>
    <phoneticPr fontId="12"/>
  </si>
  <si>
    <r>
      <t>　◎　「B 仕様入力シート」　断熱材の種類　と　開口部、　ドア　のプルダウンによる選択肢は　「登録値_断熱材</t>
    </r>
    <r>
      <rPr>
        <sz val="11"/>
        <rFont val="Calibri"/>
        <family val="3"/>
        <charset val="161"/>
      </rPr>
      <t>λ</t>
    </r>
    <r>
      <rPr>
        <sz val="11"/>
        <rFont val="BIZ UDPゴシック"/>
        <family val="3"/>
        <charset val="128"/>
      </rPr>
      <t>値」　シート、「登録値_窓、ドアのU値､</t>
    </r>
    <r>
      <rPr>
        <sz val="11"/>
        <rFont val="Calibri"/>
        <family val="3"/>
        <charset val="161"/>
      </rPr>
      <t>η</t>
    </r>
    <r>
      <rPr>
        <sz val="11"/>
        <rFont val="BIZ UDPゴシック"/>
        <family val="3"/>
        <charset val="128"/>
      </rPr>
      <t>d値」　シートにあります。</t>
    </r>
    <rPh sb="6" eb="8">
      <t>シヨウ</t>
    </rPh>
    <rPh sb="8" eb="10">
      <t>ニュウリョク</t>
    </rPh>
    <rPh sb="15" eb="18">
      <t>ダンネツザイ</t>
    </rPh>
    <rPh sb="19" eb="21">
      <t>シュルイ</t>
    </rPh>
    <rPh sb="24" eb="27">
      <t>カイコウブ</t>
    </rPh>
    <rPh sb="41" eb="44">
      <t>センタクシ</t>
    </rPh>
    <phoneticPr fontId="12"/>
  </si>
  <si>
    <t>断熱材の種類（製品記号）</t>
    <rPh sb="0" eb="3">
      <t>ダンネツザイ</t>
    </rPh>
    <rPh sb="4" eb="6">
      <t>シュルイ</t>
    </rPh>
    <rPh sb="7" eb="9">
      <t>セイヒン</t>
    </rPh>
    <rPh sb="9" eb="11">
      <t>キゴウ</t>
    </rPh>
    <phoneticPr fontId="35"/>
  </si>
  <si>
    <t>グラスウール断熱材 GW10-50</t>
  </si>
  <si>
    <t>グラスウール断熱材 GW16-45</t>
  </si>
  <si>
    <t>グラスウール断熱材 GW24-38</t>
  </si>
  <si>
    <t>グラスウール断熱材 GW32-36</t>
  </si>
  <si>
    <t>グラスウール断熱材 GWHG10-45</t>
  </si>
  <si>
    <t>グラスウール断熱材 GWHG10-43</t>
  </si>
  <si>
    <t>グラスウール断熱材 GWHG14-38</t>
  </si>
  <si>
    <t>グラスウール断熱材 GWHG16-38</t>
  </si>
  <si>
    <t>グラスウール断熱材 GWHG16-37</t>
  </si>
  <si>
    <t>グラスウール断熱材 GWHG20-36</t>
  </si>
  <si>
    <t>グラスウール断熱材 GWHG20-35</t>
  </si>
  <si>
    <t>グラスウール断熱材 GWHG20-34</t>
  </si>
  <si>
    <t>グラスウール断熱材 GWHG24-36</t>
  </si>
  <si>
    <t>グラスウール断熱材 GWHG24-35</t>
  </si>
  <si>
    <t>グラスウール断熱材 GWHG24-34</t>
  </si>
  <si>
    <t>グラスウール断熱材 GWHG28-33</t>
  </si>
  <si>
    <t>グラスウール断熱材 GWHG32-35</t>
  </si>
  <si>
    <t>グラスウール断熱材 GWHG36-32</t>
  </si>
  <si>
    <t>グラスウール断熱材 GWHG38-32</t>
  </si>
  <si>
    <t>ロックウール断熱材 RWLD</t>
  </si>
  <si>
    <t>ロックウール断熱材 RWMA</t>
  </si>
  <si>
    <t>ロックウール断熱材 RWMB</t>
  </si>
  <si>
    <t>ロックウール断熱材 RWMC、RWHA</t>
  </si>
  <si>
    <t>ロックウール断熱材 RWHB</t>
  </si>
  <si>
    <t>ロックウール断熱材 RWHC</t>
  </si>
  <si>
    <t>インシュレーション
ファイバー断熱材 IM</t>
  </si>
  <si>
    <t>インシュレーション
ファイバー断熱材 DIB、DIBP</t>
  </si>
  <si>
    <t>ビーズ法ポリスチレンフォーム断熱材 EPS1</t>
  </si>
  <si>
    <t>ビーズ法ポリスチレンフォーム断熱材 EPS2</t>
  </si>
  <si>
    <t>ビーズ法ポリスチレンフォーム断熱材 EPS3</t>
  </si>
  <si>
    <t>ビーズ法ポリスチレンフォーム断熱材 EPS4</t>
  </si>
  <si>
    <t>押出法ポリスチレンフォーム断熱材 XPS1bA</t>
  </si>
  <si>
    <t>押出法ポリスチレンフォーム断熱材 XPS1bC</t>
  </si>
  <si>
    <t>押出法ポリスチレンフォーム断熱材 XPS2bA</t>
  </si>
  <si>
    <t>押出法ポリスチレンフォーム断熱材 XPS3aA</t>
  </si>
  <si>
    <t>押出法ポリスチレンフォーム断熱材 XPS3aC</t>
  </si>
  <si>
    <t>押出法ポリスチレンフォーム断熱材 XPS3aD</t>
  </si>
  <si>
    <t>押出法ポリスチレンフォーム断熱材 XPS3bA</t>
  </si>
  <si>
    <t>押出法ポリスチレンフォーム断熱材 XPS3bC</t>
  </si>
  <si>
    <t>押出法ポリスチレンフォーム断熱材 XPS3bD</t>
  </si>
  <si>
    <t>押出法ポリスチレンフォーム断熱材 XPS3bA Ⅰ、XPS3bA Ⅱ</t>
  </si>
  <si>
    <t>硬質ウレタンフォーム断熱材 PUF1.1 Ⅰ、PUF1.1 Ⅱ</t>
  </si>
  <si>
    <t>硬質ウレタンフォーム断熱材 PUF2.1A Ⅰ、PUF2.1A Ⅱ</t>
  </si>
  <si>
    <t>硬質ウレタンフォーム断熱材 PUF2.2A Ⅰ、PUF2.2A Ⅱ</t>
  </si>
  <si>
    <t>硬質ウレタンフォーム断熱材 PUF2.2C Ⅰ、PUF2.2C Ⅱ</t>
  </si>
  <si>
    <t>硬質ウレタンフォーム断熱材 PUF2.2D Ⅰ、PUF2.2D Ⅱ</t>
  </si>
  <si>
    <t>硬質ウレタンフォーム断熱材 PUF2.2E Ⅰ、PUF2.2E Ⅱ</t>
  </si>
  <si>
    <t>硬質ウレタンフォーム断熱材 PUF2.2G Ⅰ、PUF2.2G Ⅱ</t>
  </si>
  <si>
    <t>硬質ウレタンフォーム断熱材 PUF3.1C Ⅰ、PUF3.1C Ⅱ</t>
  </si>
  <si>
    <t>硬質ウレタンフォーム断熱材 PUF3.1D Ⅰ、PUF3.1D Ⅱ</t>
  </si>
  <si>
    <t>硬質ウレタンフォーム断熱材 PUF3.2C Ⅰ、PUF3.2C Ⅱ</t>
  </si>
  <si>
    <t>硬質ウレタンフォーム断熱材 PUF3.2D Ⅰ、PUF3.2D Ⅱ</t>
  </si>
  <si>
    <t>ポリエチレンフォーム断熱材 PE1.1</t>
  </si>
  <si>
    <t>ポリエチレンフォーム断熱材 PE1.2</t>
  </si>
  <si>
    <t>ポリエチレンフォーム断熱材 PE2</t>
  </si>
  <si>
    <t>ポリエチレンフォーム断熱材 PE3</t>
  </si>
  <si>
    <t>フェノールフォーム断熱材 PF1.2C Ⅰ、PF1.2C Ⅱ</t>
  </si>
  <si>
    <t>フェノールフォーム断熱材 PF1.2D Ⅰ、PF1.2D Ⅱ</t>
  </si>
  <si>
    <t>フェノールフォーム断熱材 PF1.2E Ⅰ、PF1.2E Ⅱ</t>
  </si>
  <si>
    <t>フェノールフォーム断熱材 PF1.3C Ⅰ、PF1.3C Ⅱ</t>
  </si>
  <si>
    <t>フェノールフォーム断熱材 PF1.3D Ⅰ、PF1.3D Ⅱ</t>
  </si>
  <si>
    <t>フェノールフォーム断熱材 PF1.3E Ⅰ、PF1.3E Ⅱ</t>
  </si>
  <si>
    <t>吹付け硬質
ウレタンフォーム NF1</t>
  </si>
  <si>
    <t>吹付け硬質
ウレタンフォーム NF1H</t>
  </si>
  <si>
    <t>吹付け硬質
ウレタンフォーム NF2</t>
  </si>
  <si>
    <t>吹付け硬質
ウレタンフォーム NF2H</t>
  </si>
  <si>
    <t>吹付け硬質
ウレタンフォーム NF3</t>
  </si>
  <si>
    <t>吹込み用グラスウール断熱材 LFGW1052</t>
  </si>
  <si>
    <t>吹込み用グラスウール断熱材 LFGW1352</t>
  </si>
  <si>
    <t>吹込み用グラスウール断熱材 LFGW1852</t>
  </si>
  <si>
    <t>吹込み用グラスウール断熱材 LFGW2040</t>
  </si>
  <si>
    <t>吹込み用グラスウール断熱材 LFGW2238</t>
  </si>
  <si>
    <t>吹込み用グラスウール断熱材 LFGW3240</t>
  </si>
  <si>
    <t>吹込み用グラスウール断熱材 LFGW3238</t>
  </si>
  <si>
    <t>吹込み用ロックウール断熱材 LFRW2547</t>
  </si>
  <si>
    <t>吹込み用ロックウール断熱材 LFRW6038</t>
  </si>
  <si>
    <t>吹込み用セルローズファイバー断熱材 LFCF2540</t>
  </si>
  <si>
    <t>吹込み用セルローズファイバー断熱材 LFCF4040</t>
  </si>
  <si>
    <t>吹込み用セルローズファイバー断熱材 LFCF4540</t>
  </si>
  <si>
    <t>吹込み用セルローズファイバー断熱材 LFCF5040</t>
  </si>
  <si>
    <t>吹込み用セルローズファイバー断熱材 LFCF5540</t>
  </si>
  <si>
    <t>吹込み用セルローズファイバー断熱材 LFCF6040</t>
  </si>
  <si>
    <r>
      <rPr>
        <sz val="14"/>
        <color theme="1"/>
        <rFont val="BIZ UDPゴシック"/>
        <family val="3"/>
        <charset val="128"/>
      </rPr>
      <t>床</t>
    </r>
    <r>
      <rPr>
        <sz val="11"/>
        <color theme="1"/>
        <rFont val="BIZ UDPゴシック"/>
        <family val="3"/>
        <charset val="128"/>
      </rPr>
      <t xml:space="preserve">
</t>
    </r>
    <r>
      <rPr>
        <b/>
        <sz val="11"/>
        <color theme="1"/>
        <rFont val="BIZ UDPゴシック"/>
        <family val="3"/>
        <charset val="128"/>
      </rPr>
      <t>外気</t>
    </r>
    <r>
      <rPr>
        <sz val="11"/>
        <color theme="1"/>
        <rFont val="BIZ UDPゴシック"/>
        <family val="3"/>
        <charset val="128"/>
      </rPr>
      <t>に接する部分</t>
    </r>
    <r>
      <rPr>
        <vertAlign val="superscript"/>
        <sz val="11"/>
        <color theme="1"/>
        <rFont val="BIZ UDPゴシック"/>
        <family val="3"/>
        <charset val="128"/>
      </rPr>
      <t>※1</t>
    </r>
    <rPh sb="0" eb="1">
      <t>ユカ</t>
    </rPh>
    <phoneticPr fontId="12"/>
  </si>
  <si>
    <t>ガイドブックより小数点第２位を四捨五入した値を表示(24/12/18)</t>
    <rPh sb="23" eb="25">
      <t>ヒョウジ</t>
    </rPh>
    <phoneticPr fontId="12"/>
  </si>
  <si>
    <r>
      <t>U</t>
    </r>
    <r>
      <rPr>
        <sz val="11"/>
        <color rgb="FFFF0066"/>
        <rFont val="Meiryo UI"/>
        <family val="3"/>
        <charset val="128"/>
      </rPr>
      <t>四捨五入</t>
    </r>
    <rPh sb="1" eb="5">
      <t>シシャゴニュウ</t>
    </rPh>
    <phoneticPr fontId="12"/>
  </si>
  <si>
    <r>
      <t>η</t>
    </r>
    <r>
      <rPr>
        <sz val="11"/>
        <color rgb="FFFF0066"/>
        <rFont val="Meiryo UI"/>
        <family val="3"/>
        <charset val="128"/>
      </rPr>
      <t>四捨五入</t>
    </r>
    <phoneticPr fontId="12"/>
  </si>
  <si>
    <r>
      <t>η</t>
    </r>
    <r>
      <rPr>
        <sz val="11"/>
        <color rgb="FFFF0066"/>
        <rFont val="Meiryo UI"/>
        <family val="3"/>
        <charset val="128"/>
      </rPr>
      <t>四捨五入</t>
    </r>
    <rPh sb="1" eb="5">
      <t>シシャゴニュウ</t>
    </rPh>
    <phoneticPr fontId="12"/>
  </si>
  <si>
    <t>U四捨五入</t>
    <phoneticPr fontId="12"/>
  </si>
  <si>
    <r>
      <t xml:space="preserve"> ◇　性能値の調べ方を［参考情報 性能等の調べ方（別ファイル）］のページにて紹介しています。　記載の性能値は、　「断熱材の熱抵抗Ｒ」　、　「開口部の熱貫流率Ｕ」　、　「窓の日射熱取得率</t>
    </r>
    <r>
      <rPr>
        <sz val="11"/>
        <rFont val="Calibri"/>
        <family val="3"/>
        <charset val="161"/>
      </rPr>
      <t>η</t>
    </r>
    <r>
      <rPr>
        <sz val="11"/>
        <rFont val="BIZ UDPゴシック"/>
        <family val="3"/>
        <charset val="128"/>
      </rPr>
      <t>」　、　「設備機器の効率等」　です。</t>
    </r>
    <rPh sb="3" eb="6">
      <t>セイノウチ</t>
    </rPh>
    <rPh sb="7" eb="8">
      <t>シラ</t>
    </rPh>
    <rPh sb="9" eb="10">
      <t>カタ</t>
    </rPh>
    <rPh sb="12" eb="16">
      <t>サンコウジョウホウ</t>
    </rPh>
    <rPh sb="25" eb="26">
      <t>ベツ</t>
    </rPh>
    <rPh sb="38" eb="40">
      <t>ショウカイ</t>
    </rPh>
    <rPh sb="47" eb="49">
      <t>キサイ</t>
    </rPh>
    <rPh sb="50" eb="53">
      <t>セイノウチ</t>
    </rPh>
    <rPh sb="57" eb="60">
      <t>ダンネツザイ</t>
    </rPh>
    <rPh sb="61" eb="64">
      <t>ネツテイコウ</t>
    </rPh>
    <rPh sb="70" eb="73">
      <t>カイコウブ</t>
    </rPh>
    <rPh sb="74" eb="78">
      <t>ネツカンリュウリツ</t>
    </rPh>
    <rPh sb="84" eb="85">
      <t>マド</t>
    </rPh>
    <rPh sb="86" eb="89">
      <t>ニッシャネツ</t>
    </rPh>
    <rPh sb="89" eb="92">
      <t>シュトクリツ</t>
    </rPh>
    <rPh sb="98" eb="100">
      <t>セツビ</t>
    </rPh>
    <rPh sb="100" eb="102">
      <t>キキ</t>
    </rPh>
    <rPh sb="103" eb="106">
      <t>コウリツトウ</t>
    </rPh>
    <phoneticPr fontId="12"/>
  </si>
  <si>
    <t>　◎　仕様の性能値の調べ方等は、　「参考情報 性能等の調べ方（別ファイル）」　シートの　参考情報　性能値 （ 熱抵抗R、熱貫流率U、エアコンの効率区分など ） の調べ方　を参考にしてください。</t>
    <rPh sb="18" eb="20">
      <t>サンコウ</t>
    </rPh>
    <rPh sb="20" eb="22">
      <t>ジョウホウ</t>
    </rPh>
    <rPh sb="23" eb="25">
      <t>セイノウ</t>
    </rPh>
    <rPh sb="25" eb="26">
      <t>トウ</t>
    </rPh>
    <rPh sb="27" eb="28">
      <t>シラ</t>
    </rPh>
    <rPh sb="29" eb="30">
      <t>カタ</t>
    </rPh>
    <rPh sb="31" eb="32">
      <t>ベツ</t>
    </rPh>
    <rPh sb="44" eb="46">
      <t>サンコウ</t>
    </rPh>
    <rPh sb="46" eb="48">
      <t>ジョウホウ</t>
    </rPh>
    <phoneticPr fontId="12"/>
  </si>
  <si>
    <r>
      <t>　◎　「B 仕様入力シート」　の入力は、　</t>
    </r>
    <r>
      <rPr>
        <u/>
        <sz val="11"/>
        <rFont val="BIZ UDPゴシック"/>
        <family val="3"/>
        <charset val="128"/>
      </rPr>
      <t>１ 断熱材の熱抵抗Ｒ</t>
    </r>
    <r>
      <rPr>
        <sz val="11"/>
        <rFont val="BIZ UDPゴシック"/>
        <family val="3"/>
        <charset val="128"/>
      </rPr>
      <t>、　</t>
    </r>
    <r>
      <rPr>
        <u/>
        <sz val="11"/>
        <rFont val="BIZ UDPゴシック"/>
        <family val="3"/>
        <charset val="128"/>
      </rPr>
      <t>２ 窓の熱貫流率Uと日射遮蔽対策(【１ ２ ３ ４地域】は基準なし)</t>
    </r>
    <r>
      <rPr>
        <sz val="11"/>
        <rFont val="BIZ UDPゴシック"/>
        <family val="3"/>
        <charset val="128"/>
      </rPr>
      <t xml:space="preserve">、　 </t>
    </r>
    <r>
      <rPr>
        <u/>
        <sz val="11"/>
        <rFont val="BIZ UDPゴシック"/>
        <family val="3"/>
        <charset val="128"/>
      </rPr>
      <t>２ ドアの熱貫流率Ｕ</t>
    </r>
    <r>
      <rPr>
        <sz val="11"/>
        <rFont val="BIZ UDPゴシック"/>
        <family val="3"/>
        <charset val="128"/>
      </rPr>
      <t>、　</t>
    </r>
    <r>
      <rPr>
        <u/>
        <sz val="11"/>
        <rFont val="BIZ UDPゴシック"/>
        <family val="3"/>
        <charset val="128"/>
      </rPr>
      <t>３設備機器の仕様</t>
    </r>
    <r>
      <rPr>
        <sz val="11"/>
        <rFont val="BIZ UDPゴシック"/>
        <family val="3"/>
        <charset val="128"/>
      </rPr>
      <t>　を全て入力してください。</t>
    </r>
    <rPh sb="62" eb="64">
      <t>キジュン</t>
    </rPh>
    <phoneticPr fontId="12"/>
  </si>
  <si>
    <t>　◎　すべての部位、設備の仕様が適合の場合は、シートごとの入力に対して上部にある　［省エネ基準適否］　欄に自動で　「適合」　または　「不適合」　が表示されます。</t>
    <rPh sb="29" eb="31">
      <t>ニュウリョク</t>
    </rPh>
    <rPh sb="32" eb="33">
      <t>タイ</t>
    </rPh>
    <rPh sb="35" eb="37">
      <t>ジョウブ</t>
    </rPh>
    <rPh sb="58" eb="60">
      <t>テキゴウ</t>
    </rPh>
    <rPh sb="67" eb="70">
      <t>フテキゴウ</t>
    </rPh>
    <phoneticPr fontId="12"/>
  </si>
  <si>
    <t>　◎　印刷は上部にある　［印刷］　ボタンをクリックするか、　「Ctrl+P」　を入力してください。印刷プレビューが表示され、印刷内容の確認ができます。</t>
    <rPh sb="6" eb="8">
      <t>ジョウブ</t>
    </rPh>
    <rPh sb="40" eb="42">
      <t>ニュウリョク</t>
    </rPh>
    <rPh sb="49" eb="51">
      <t>インサツ</t>
    </rPh>
    <phoneticPr fontId="12"/>
  </si>
  <si>
    <t>※1　「日射遮蔽対策（日射熱取得率）」においては、天窓以外の開口部で、開口部の面積（当該開口部が二以上の場合はその合計の面積）が住戸の床面積に0.04を乗じた数値以下となるものを除くことができます。</t>
    <rPh sb="4" eb="6">
      <t>ニッシャ</t>
    </rPh>
    <rPh sb="6" eb="8">
      <t>シャヘイ</t>
    </rPh>
    <rPh sb="8" eb="10">
      <t>タイサク</t>
    </rPh>
    <rPh sb="11" eb="13">
      <t>ニッシャ</t>
    </rPh>
    <rPh sb="13" eb="14">
      <t>ネツ</t>
    </rPh>
    <rPh sb="14" eb="16">
      <t>シュトク</t>
    </rPh>
    <rPh sb="16" eb="17">
      <t>リツ</t>
    </rPh>
    <rPh sb="25" eb="27">
      <t>テンマド</t>
    </rPh>
    <rPh sb="27" eb="29">
      <t>イガイ</t>
    </rPh>
    <rPh sb="30" eb="33">
      <t>カイコウブ</t>
    </rPh>
    <rPh sb="35" eb="38">
      <t>カイコウブ</t>
    </rPh>
    <rPh sb="39" eb="41">
      <t>メンセキ</t>
    </rPh>
    <rPh sb="42" eb="44">
      <t>トウガイ</t>
    </rPh>
    <rPh sb="44" eb="47">
      <t>カイコウブ</t>
    </rPh>
    <rPh sb="49" eb="51">
      <t>イジョウ</t>
    </rPh>
    <rPh sb="52" eb="54">
      <t>バアイ</t>
    </rPh>
    <rPh sb="57" eb="59">
      <t>ゴウケイ</t>
    </rPh>
    <rPh sb="60" eb="62">
      <t>メンセキ</t>
    </rPh>
    <rPh sb="64" eb="66">
      <t>ジュウコ</t>
    </rPh>
    <rPh sb="67" eb="70">
      <t>ユカメンセキ</t>
    </rPh>
    <rPh sb="76" eb="77">
      <t>ジョウ</t>
    </rPh>
    <rPh sb="79" eb="83">
      <t>スウチイカ</t>
    </rPh>
    <rPh sb="89" eb="90">
      <t>ノゾ</t>
    </rPh>
    <phoneticPr fontId="12"/>
  </si>
  <si>
    <r>
      <t xml:space="preserve">窓 </t>
    </r>
    <r>
      <rPr>
        <b/>
        <vertAlign val="superscript"/>
        <sz val="13"/>
        <color theme="1"/>
        <rFont val="BIZ UDPゴシック"/>
        <family val="3"/>
        <charset val="128"/>
      </rPr>
      <t>※１</t>
    </r>
    <rPh sb="0" eb="1">
      <t>マド</t>
    </rPh>
    <phoneticPr fontId="12"/>
  </si>
  <si>
    <t>※2　「有効なひさし、軒等」とは、外壁からの出寸法が、その下端から窓下端までの高さの0.3倍以上のものをいいます。</t>
    <rPh sb="4" eb="6">
      <t>ユウコウ</t>
    </rPh>
    <rPh sb="11" eb="13">
      <t>ノキトウ</t>
    </rPh>
    <rPh sb="17" eb="19">
      <t>ガイヘキ</t>
    </rPh>
    <rPh sb="22" eb="25">
      <t>デスンポウ</t>
    </rPh>
    <rPh sb="29" eb="31">
      <t>シタバ</t>
    </rPh>
    <rPh sb="33" eb="34">
      <t>マド</t>
    </rPh>
    <rPh sb="34" eb="36">
      <t>シタバ</t>
    </rPh>
    <rPh sb="39" eb="40">
      <t>タカ</t>
    </rPh>
    <rPh sb="45" eb="46">
      <t>バイ</t>
    </rPh>
    <rPh sb="46" eb="48">
      <t>イジョウ</t>
    </rPh>
    <phoneticPr fontId="12"/>
  </si>
  <si>
    <t>※3　「有効な付属部材」とは、障子、外付けブラインド（窓の直近外側に設置し、金属製スラット等の可変によって日射調整機能のあるブラインド）、その他これらと同等以上の日射遮蔽性能があり、開口部に建築的に取り付けられるものをいいます。レースカーテン、内付けブラインド等の着脱が容易なものは対象外です。</t>
    <rPh sb="4" eb="6">
      <t>ユウコウ</t>
    </rPh>
    <rPh sb="7" eb="11">
      <t>フゾクブザイ</t>
    </rPh>
    <rPh sb="15" eb="17">
      <t>ショウジ</t>
    </rPh>
    <rPh sb="18" eb="20">
      <t>ソトヅ</t>
    </rPh>
    <rPh sb="27" eb="28">
      <t>マド</t>
    </rPh>
    <rPh sb="29" eb="31">
      <t>チョッキン</t>
    </rPh>
    <rPh sb="31" eb="33">
      <t>ソトガワ</t>
    </rPh>
    <rPh sb="34" eb="36">
      <t>セッチ</t>
    </rPh>
    <rPh sb="38" eb="41">
      <t>キンゾクセイ</t>
    </rPh>
    <rPh sb="45" eb="46">
      <t>トウ</t>
    </rPh>
    <rPh sb="47" eb="49">
      <t>カヘン</t>
    </rPh>
    <rPh sb="53" eb="55">
      <t>ニッシャ</t>
    </rPh>
    <rPh sb="55" eb="57">
      <t>チョウセイ</t>
    </rPh>
    <rPh sb="57" eb="59">
      <t>キノウ</t>
    </rPh>
    <rPh sb="71" eb="72">
      <t>タ</t>
    </rPh>
    <rPh sb="76" eb="78">
      <t>ドウトウ</t>
    </rPh>
    <rPh sb="78" eb="80">
      <t>イジョウ</t>
    </rPh>
    <rPh sb="81" eb="83">
      <t>ニッシャ</t>
    </rPh>
    <rPh sb="83" eb="85">
      <t>シャヘイ</t>
    </rPh>
    <rPh sb="85" eb="87">
      <t>セイノウ</t>
    </rPh>
    <rPh sb="91" eb="94">
      <t>カイコウブ</t>
    </rPh>
    <rPh sb="95" eb="97">
      <t>ケンチク</t>
    </rPh>
    <rPh sb="97" eb="98">
      <t>テキ</t>
    </rPh>
    <rPh sb="99" eb="100">
      <t>ト</t>
    </rPh>
    <rPh sb="101" eb="102">
      <t>ツ</t>
    </rPh>
    <rPh sb="122" eb="124">
      <t>ウチヅ</t>
    </rPh>
    <rPh sb="130" eb="131">
      <t>トウ</t>
    </rPh>
    <rPh sb="132" eb="134">
      <t>チャクダツ</t>
    </rPh>
    <rPh sb="135" eb="137">
      <t>ヨウイ</t>
    </rPh>
    <rPh sb="141" eb="144">
      <t>タイショウガイ</t>
    </rPh>
    <phoneticPr fontId="12"/>
  </si>
  <si>
    <r>
      <t>有効なひさし、軒等</t>
    </r>
    <r>
      <rPr>
        <vertAlign val="superscript"/>
        <sz val="12"/>
        <color theme="1"/>
        <rFont val="BIZ UDPゴシック"/>
        <family val="3"/>
        <charset val="128"/>
      </rPr>
      <t>※2</t>
    </r>
    <r>
      <rPr>
        <sz val="11"/>
        <color theme="1"/>
        <rFont val="BIZ UDPゴシック"/>
        <family val="3"/>
        <charset val="128"/>
      </rPr>
      <t>、
付属部材</t>
    </r>
    <r>
      <rPr>
        <vertAlign val="superscript"/>
        <sz val="12"/>
        <color theme="1"/>
        <rFont val="BIZ UDPゴシック"/>
        <family val="3"/>
        <charset val="128"/>
      </rPr>
      <t>※3</t>
    </r>
    <r>
      <rPr>
        <sz val="11"/>
        <color theme="1"/>
        <rFont val="BIZ UDPゴシック"/>
        <family val="3"/>
        <charset val="128"/>
      </rPr>
      <t xml:space="preserve">が
</t>
    </r>
    <r>
      <rPr>
        <b/>
        <sz val="13"/>
        <color theme="1"/>
        <rFont val="BIZ UDPゴシック"/>
        <family val="3"/>
        <charset val="128"/>
      </rPr>
      <t>ある</t>
    </r>
    <r>
      <rPr>
        <sz val="11"/>
        <color theme="1"/>
        <rFont val="BIZ UDPゴシック"/>
        <family val="3"/>
        <charset val="128"/>
      </rPr>
      <t>所に設置する窓</t>
    </r>
    <phoneticPr fontId="12"/>
  </si>
  <si>
    <r>
      <rPr>
        <sz val="11"/>
        <color theme="1"/>
        <rFont val="BIZ UDPゴシック"/>
        <family val="3"/>
        <charset val="128"/>
      </rPr>
      <t>有効なひさし、軒等</t>
    </r>
    <r>
      <rPr>
        <vertAlign val="superscript"/>
        <sz val="12"/>
        <color theme="1"/>
        <rFont val="BIZ UDPゴシック"/>
        <family val="3"/>
        <charset val="128"/>
      </rPr>
      <t>※2</t>
    </r>
    <r>
      <rPr>
        <sz val="10.5"/>
        <color theme="1"/>
        <rFont val="BIZ UDPゴシック"/>
        <family val="3"/>
        <charset val="128"/>
      </rPr>
      <t>、
付属部材</t>
    </r>
    <r>
      <rPr>
        <vertAlign val="superscript"/>
        <sz val="12"/>
        <color theme="1"/>
        <rFont val="BIZ UDPゴシック"/>
        <family val="3"/>
        <charset val="128"/>
      </rPr>
      <t>※3</t>
    </r>
    <r>
      <rPr>
        <sz val="10.5"/>
        <color theme="1"/>
        <rFont val="BIZ UDPゴシック"/>
        <family val="3"/>
        <charset val="128"/>
      </rPr>
      <t xml:space="preserve">が
</t>
    </r>
    <r>
      <rPr>
        <b/>
        <sz val="13"/>
        <color theme="1"/>
        <rFont val="BIZ UDPゴシック"/>
        <family val="3"/>
        <charset val="128"/>
      </rPr>
      <t>ない</t>
    </r>
    <r>
      <rPr>
        <sz val="10.5"/>
        <color theme="1"/>
        <rFont val="BIZ UDPゴシック"/>
        <family val="3"/>
        <charset val="128"/>
      </rPr>
      <t>所に設置する窓</t>
    </r>
    <phoneticPr fontId="12"/>
  </si>
  <si>
    <t>申請する建築士名：</t>
    <rPh sb="0" eb="2">
      <t>シンセイ</t>
    </rPh>
    <rPh sb="4" eb="7">
      <t>ケンチクシ</t>
    </rPh>
    <rPh sb="7" eb="8">
      <t>メイ</t>
    </rPh>
    <phoneticPr fontId="12"/>
  </si>
  <si>
    <t>申請する建築士名</t>
    <rPh sb="0" eb="2">
      <t>シンセイ</t>
    </rPh>
    <rPh sb="4" eb="7">
      <t>ケンチクシ</t>
    </rPh>
    <rPh sb="7" eb="8">
      <t>メイ</t>
    </rPh>
    <phoneticPr fontId="26"/>
  </si>
  <si>
    <t xml:space="preserve"> ◇　木造戸建て住宅を対象としています。S造戸建て住宅、RC造戸建て住宅は対象外です。</t>
    <rPh sb="3" eb="5">
      <t>モクゾウ</t>
    </rPh>
    <rPh sb="5" eb="7">
      <t>コダ</t>
    </rPh>
    <rPh sb="8" eb="10">
      <t>ジュウタク</t>
    </rPh>
    <rPh sb="11" eb="13">
      <t>タイショウ</t>
    </rPh>
    <rPh sb="30" eb="31">
      <t>ゾウ</t>
    </rPh>
    <rPh sb="31" eb="33">
      <t>コダテ</t>
    </rPh>
    <rPh sb="34" eb="36">
      <t>ジュウタク</t>
    </rPh>
    <rPh sb="37" eb="39">
      <t>タイショウ</t>
    </rPh>
    <rPh sb="39" eb="40">
      <t>ソト</t>
    </rPh>
    <phoneticPr fontId="12"/>
  </si>
  <si>
    <t>　④　「C 仕様表（仕様基準）」　シートは、入力出来ません。申請時の資料としてそのまま使用できます。適否確認の結果は表示されないため、　「B 仕様入力シート」　　からご確認ください。</t>
    <rPh sb="41" eb="43">
      <t>デキ</t>
    </rPh>
    <phoneticPr fontId="12"/>
  </si>
  <si>
    <t>冷房設備機器を設置しない（入居者設置など完了検査時点で設置が行われない）</t>
    <phoneticPr fontId="12"/>
  </si>
  <si>
    <t>設置しない（入居者設置など完了検査時点で設置が行われない）</t>
    <rPh sb="0" eb="2">
      <t>セッチ</t>
    </rPh>
    <rPh sb="6" eb="9">
      <t>ニュウキョシャ</t>
    </rPh>
    <phoneticPr fontId="12"/>
  </si>
  <si>
    <t>暖房設備機器または放熱器を設置しない（入居者設置など完了検査時点で設置が行われない）</t>
    <phoneticPr fontId="12"/>
  </si>
  <si>
    <t>設置しない（入居者設置など完了検査時点で設置が行われない）</t>
    <rPh sb="0" eb="2">
      <t>セッチ</t>
    </rPh>
    <rPh sb="6" eb="9">
      <t>ニュウキョシャ</t>
    </rPh>
    <rPh sb="9" eb="11">
      <t>セッチ</t>
    </rPh>
    <rPh sb="13" eb="15">
      <t>カンリョウ</t>
    </rPh>
    <rPh sb="15" eb="17">
      <t>ケンサ</t>
    </rPh>
    <rPh sb="17" eb="19">
      <t>ジテン</t>
    </rPh>
    <rPh sb="20" eb="22">
      <t>セッチ</t>
    </rPh>
    <rPh sb="23" eb="24">
      <t>オコナ</t>
    </rPh>
    <phoneticPr fontId="12"/>
  </si>
  <si>
    <r>
      <rPr>
        <sz val="14"/>
        <color theme="1"/>
        <rFont val="BIZ UDPゴシック"/>
        <family val="3"/>
        <charset val="128"/>
      </rPr>
      <t>床</t>
    </r>
    <r>
      <rPr>
        <sz val="11"/>
        <color theme="1"/>
        <rFont val="BIZ UDPゴシック"/>
        <family val="3"/>
        <charset val="128"/>
      </rPr>
      <t xml:space="preserve">
</t>
    </r>
    <r>
      <rPr>
        <b/>
        <sz val="11"/>
        <color theme="1"/>
        <rFont val="BIZ UDPゴシック"/>
        <family val="3"/>
        <charset val="128"/>
      </rPr>
      <t>その他</t>
    </r>
    <r>
      <rPr>
        <sz val="11"/>
        <color theme="1"/>
        <rFont val="BIZ UDPゴシック"/>
        <family val="3"/>
        <charset val="128"/>
      </rPr>
      <t>の部分</t>
    </r>
    <rPh sb="0" eb="1">
      <t>ユカ</t>
    </rPh>
    <rPh sb="4" eb="5">
      <t>タ</t>
    </rPh>
    <phoneticPr fontId="12"/>
  </si>
  <si>
    <r>
      <t xml:space="preserve">土間床等の外周部分の
</t>
    </r>
    <r>
      <rPr>
        <sz val="14"/>
        <color theme="1"/>
        <rFont val="BIZ UDPゴシック"/>
        <family val="3"/>
        <charset val="128"/>
      </rPr>
      <t>基礎壁</t>
    </r>
    <r>
      <rPr>
        <sz val="11"/>
        <color theme="1"/>
        <rFont val="BIZ UDPゴシック"/>
        <family val="3"/>
        <charset val="128"/>
      </rPr>
      <t xml:space="preserve">
（</t>
    </r>
    <r>
      <rPr>
        <b/>
        <sz val="11"/>
        <color theme="1"/>
        <rFont val="BIZ UDPゴシック"/>
        <family val="3"/>
        <charset val="128"/>
      </rPr>
      <t>外気</t>
    </r>
    <r>
      <rPr>
        <sz val="11"/>
        <color theme="1"/>
        <rFont val="BIZ UDPゴシック"/>
        <family val="3"/>
        <charset val="128"/>
      </rPr>
      <t>に接する部分）</t>
    </r>
    <r>
      <rPr>
        <vertAlign val="superscript"/>
        <sz val="11"/>
        <color theme="1"/>
        <rFont val="BIZ UDPゴシック"/>
        <family val="3"/>
        <charset val="128"/>
      </rPr>
      <t>※2</t>
    </r>
    <phoneticPr fontId="12"/>
  </si>
  <si>
    <r>
      <t xml:space="preserve">土間床等の外周部分の
</t>
    </r>
    <r>
      <rPr>
        <sz val="14"/>
        <color theme="1"/>
        <rFont val="BIZ UDPゴシック"/>
        <family val="3"/>
        <charset val="128"/>
      </rPr>
      <t>基礎壁</t>
    </r>
    <r>
      <rPr>
        <sz val="11"/>
        <color theme="1"/>
        <rFont val="BIZ UDPゴシック"/>
        <family val="3"/>
        <charset val="128"/>
      </rPr>
      <t xml:space="preserve">
（</t>
    </r>
    <r>
      <rPr>
        <b/>
        <sz val="11"/>
        <color theme="1"/>
        <rFont val="BIZ UDPゴシック"/>
        <family val="3"/>
        <charset val="128"/>
      </rPr>
      <t>その他</t>
    </r>
    <r>
      <rPr>
        <sz val="11"/>
        <color theme="1"/>
        <rFont val="BIZ UDPゴシック"/>
        <family val="3"/>
        <charset val="128"/>
      </rPr>
      <t>の部分）</t>
    </r>
    <r>
      <rPr>
        <vertAlign val="superscript"/>
        <sz val="11"/>
        <color theme="1"/>
        <rFont val="BIZ UDPゴシック"/>
        <family val="3"/>
        <charset val="128"/>
      </rPr>
      <t>※2</t>
    </r>
    <phoneticPr fontId="12"/>
  </si>
  <si>
    <t>※2　玄関、勝手口等の土間床部分については断熱を省略することができます。</t>
    <rPh sb="24" eb="26">
      <t>ショウリャク</t>
    </rPh>
    <phoneticPr fontId="12"/>
  </si>
  <si>
    <r>
      <t xml:space="preserve">窓 </t>
    </r>
    <r>
      <rPr>
        <b/>
        <vertAlign val="superscript"/>
        <sz val="13"/>
        <color theme="1"/>
        <rFont val="BIZ UDPゴシック"/>
        <family val="3"/>
        <charset val="128"/>
      </rPr>
      <t>※3</t>
    </r>
    <rPh sb="0" eb="1">
      <t>マド</t>
    </rPh>
    <phoneticPr fontId="12"/>
  </si>
  <si>
    <t>※3　「熱貫流率」においては、開口部の面積（当該開口部が二以上の場合はその合計の面積）が住戸の床面積に0.02を乗じた数値以下となるものを除くことができます。</t>
    <rPh sb="4" eb="8">
      <t>ネツカンリュウリツ</t>
    </rPh>
    <rPh sb="15" eb="18">
      <t>カイコウブ</t>
    </rPh>
    <rPh sb="19" eb="21">
      <t>メンセキ</t>
    </rPh>
    <rPh sb="22" eb="24">
      <t>トウガイ</t>
    </rPh>
    <rPh sb="24" eb="27">
      <t>カイコウブ</t>
    </rPh>
    <rPh sb="29" eb="31">
      <t>イジョウ</t>
    </rPh>
    <rPh sb="32" eb="34">
      <t>バアイ</t>
    </rPh>
    <rPh sb="37" eb="39">
      <t>ゴウケイ</t>
    </rPh>
    <rPh sb="40" eb="42">
      <t>メンセキ</t>
    </rPh>
    <rPh sb="44" eb="46">
      <t>ジュウコ</t>
    </rPh>
    <rPh sb="47" eb="50">
      <t>ユカメンセキ</t>
    </rPh>
    <rPh sb="56" eb="57">
      <t>ジョウ</t>
    </rPh>
    <rPh sb="59" eb="63">
      <t>スウチイカ</t>
    </rPh>
    <rPh sb="69" eb="70">
      <t>ノゾ</t>
    </rPh>
    <phoneticPr fontId="12"/>
  </si>
  <si>
    <r>
      <t xml:space="preserve">窓 </t>
    </r>
    <r>
      <rPr>
        <b/>
        <vertAlign val="superscript"/>
        <sz val="13"/>
        <color theme="1"/>
        <rFont val="BIZ UDPゴシック"/>
        <family val="3"/>
        <charset val="128"/>
      </rPr>
      <t>※3※4</t>
    </r>
    <rPh sb="0" eb="1">
      <t>マド</t>
    </rPh>
    <phoneticPr fontId="12"/>
  </si>
  <si>
    <t>※4　「日射遮蔽対策（日射熱取得率）」においては、天窓以外の開口部で、開口部の面積（当該開口部が二以上の場合はその合計の面積）が住戸の床面積に0.04を乗じた数値以下となるものを除くことができます。</t>
    <rPh sb="4" eb="6">
      <t>ニッシャ</t>
    </rPh>
    <rPh sb="6" eb="8">
      <t>シャヘイ</t>
    </rPh>
    <rPh sb="8" eb="10">
      <t>タイサク</t>
    </rPh>
    <rPh sb="11" eb="13">
      <t>ニッシャ</t>
    </rPh>
    <rPh sb="13" eb="14">
      <t>ネツ</t>
    </rPh>
    <rPh sb="14" eb="16">
      <t>シュトク</t>
    </rPh>
    <rPh sb="16" eb="17">
      <t>リツ</t>
    </rPh>
    <rPh sb="25" eb="27">
      <t>テンマド</t>
    </rPh>
    <rPh sb="27" eb="29">
      <t>イガイ</t>
    </rPh>
    <rPh sb="30" eb="33">
      <t>カイコウブ</t>
    </rPh>
    <rPh sb="35" eb="38">
      <t>カイコウブ</t>
    </rPh>
    <rPh sb="39" eb="41">
      <t>メンセキ</t>
    </rPh>
    <rPh sb="42" eb="44">
      <t>トウガイ</t>
    </rPh>
    <rPh sb="44" eb="47">
      <t>カイコウブ</t>
    </rPh>
    <rPh sb="49" eb="51">
      <t>イジョウ</t>
    </rPh>
    <rPh sb="52" eb="54">
      <t>バアイ</t>
    </rPh>
    <rPh sb="57" eb="59">
      <t>ゴウケイ</t>
    </rPh>
    <rPh sb="60" eb="62">
      <t>メンセキ</t>
    </rPh>
    <rPh sb="64" eb="66">
      <t>ジュウコ</t>
    </rPh>
    <rPh sb="67" eb="70">
      <t>ユカメンセキ</t>
    </rPh>
    <rPh sb="76" eb="77">
      <t>ジョウ</t>
    </rPh>
    <rPh sb="79" eb="83">
      <t>スウチイカ</t>
    </rPh>
    <rPh sb="89" eb="90">
      <t>ノゾ</t>
    </rPh>
    <phoneticPr fontId="12"/>
  </si>
  <si>
    <t>※5　「有効なひさし、軒等」とは、外壁からの出寸法が、その下端から窓下端までの高さの0.3倍以上のものをいいます。</t>
    <rPh sb="4" eb="6">
      <t>ユウコウ</t>
    </rPh>
    <rPh sb="11" eb="13">
      <t>ノキトウ</t>
    </rPh>
    <rPh sb="17" eb="19">
      <t>ガイヘキ</t>
    </rPh>
    <rPh sb="22" eb="25">
      <t>デスンポウ</t>
    </rPh>
    <rPh sb="29" eb="31">
      <t>シタバ</t>
    </rPh>
    <rPh sb="33" eb="34">
      <t>マド</t>
    </rPh>
    <rPh sb="34" eb="36">
      <t>シタバ</t>
    </rPh>
    <rPh sb="39" eb="40">
      <t>タカ</t>
    </rPh>
    <rPh sb="45" eb="46">
      <t>バイ</t>
    </rPh>
    <rPh sb="46" eb="48">
      <t>イジョウ</t>
    </rPh>
    <phoneticPr fontId="12"/>
  </si>
  <si>
    <t>※6　「有効な付属部材」とは、障子、外付けブラインド（窓の直近外側に設置し、金属製スラット等の可変によって日射調整機能のあるブラインド）、その他これらと同等以上の日射遮蔽性能があり、開口部に建築的に取り付けられるものをいいます。レースカーテン、内付けブラインド等の着脱が容易なものは対象外です。</t>
    <rPh sb="4" eb="6">
      <t>ユウコウ</t>
    </rPh>
    <rPh sb="7" eb="11">
      <t>フゾクブザイ</t>
    </rPh>
    <rPh sb="15" eb="17">
      <t>ショウジ</t>
    </rPh>
    <rPh sb="18" eb="20">
      <t>ソトヅ</t>
    </rPh>
    <rPh sb="27" eb="28">
      <t>マド</t>
    </rPh>
    <rPh sb="29" eb="31">
      <t>チョッキン</t>
    </rPh>
    <rPh sb="31" eb="33">
      <t>ソトガワ</t>
    </rPh>
    <rPh sb="34" eb="36">
      <t>セッチ</t>
    </rPh>
    <rPh sb="38" eb="41">
      <t>キンゾクセイ</t>
    </rPh>
    <rPh sb="45" eb="46">
      <t>トウ</t>
    </rPh>
    <rPh sb="47" eb="49">
      <t>カヘン</t>
    </rPh>
    <rPh sb="53" eb="55">
      <t>ニッシャ</t>
    </rPh>
    <rPh sb="55" eb="57">
      <t>チョウセイ</t>
    </rPh>
    <rPh sb="57" eb="59">
      <t>キノウ</t>
    </rPh>
    <rPh sb="71" eb="72">
      <t>タ</t>
    </rPh>
    <rPh sb="76" eb="78">
      <t>ドウトウ</t>
    </rPh>
    <rPh sb="78" eb="80">
      <t>イジョウ</t>
    </rPh>
    <rPh sb="81" eb="83">
      <t>ニッシャ</t>
    </rPh>
    <rPh sb="83" eb="85">
      <t>シャヘイ</t>
    </rPh>
    <rPh sb="85" eb="87">
      <t>セイノウ</t>
    </rPh>
    <rPh sb="91" eb="94">
      <t>カイコウブ</t>
    </rPh>
    <rPh sb="95" eb="97">
      <t>ケンチク</t>
    </rPh>
    <rPh sb="97" eb="98">
      <t>テキ</t>
    </rPh>
    <rPh sb="99" eb="100">
      <t>ト</t>
    </rPh>
    <rPh sb="101" eb="102">
      <t>ツ</t>
    </rPh>
    <rPh sb="122" eb="124">
      <t>ウチヅ</t>
    </rPh>
    <rPh sb="130" eb="131">
      <t>トウ</t>
    </rPh>
    <rPh sb="132" eb="134">
      <t>チャクダツ</t>
    </rPh>
    <rPh sb="135" eb="137">
      <t>ヨウイ</t>
    </rPh>
    <rPh sb="141" eb="144">
      <t>タイショウガイ</t>
    </rPh>
    <phoneticPr fontId="12"/>
  </si>
  <si>
    <r>
      <t>有効なひさし、軒等</t>
    </r>
    <r>
      <rPr>
        <vertAlign val="superscript"/>
        <sz val="12"/>
        <color theme="1"/>
        <rFont val="BIZ UDPゴシック"/>
        <family val="3"/>
        <charset val="128"/>
      </rPr>
      <t>※5</t>
    </r>
    <r>
      <rPr>
        <sz val="11"/>
        <color theme="1"/>
        <rFont val="BIZ UDPゴシック"/>
        <family val="3"/>
        <charset val="128"/>
      </rPr>
      <t>、
付属部材</t>
    </r>
    <r>
      <rPr>
        <vertAlign val="superscript"/>
        <sz val="12"/>
        <color theme="1"/>
        <rFont val="BIZ UDPゴシック"/>
        <family val="3"/>
        <charset val="128"/>
      </rPr>
      <t>※6</t>
    </r>
    <r>
      <rPr>
        <sz val="11"/>
        <color theme="1"/>
        <rFont val="BIZ UDPゴシック"/>
        <family val="3"/>
        <charset val="128"/>
      </rPr>
      <t xml:space="preserve">が
</t>
    </r>
    <r>
      <rPr>
        <b/>
        <sz val="13"/>
        <color theme="1"/>
        <rFont val="BIZ UDPゴシック"/>
        <family val="3"/>
        <charset val="128"/>
      </rPr>
      <t>ある</t>
    </r>
    <r>
      <rPr>
        <sz val="11"/>
        <color theme="1"/>
        <rFont val="BIZ UDPゴシック"/>
        <family val="3"/>
        <charset val="128"/>
      </rPr>
      <t>所に設置する窓</t>
    </r>
    <phoneticPr fontId="12"/>
  </si>
  <si>
    <r>
      <t>有効なひさし、軒等</t>
    </r>
    <r>
      <rPr>
        <vertAlign val="superscript"/>
        <sz val="12"/>
        <color theme="1"/>
        <rFont val="BIZ UDPゴシック"/>
        <family val="3"/>
        <charset val="128"/>
      </rPr>
      <t>※5</t>
    </r>
    <r>
      <rPr>
        <sz val="11"/>
        <color theme="1"/>
        <rFont val="BIZ UDPゴシック"/>
        <family val="3"/>
        <charset val="128"/>
      </rPr>
      <t>、
付属部材</t>
    </r>
    <r>
      <rPr>
        <vertAlign val="superscript"/>
        <sz val="12"/>
        <color theme="1"/>
        <rFont val="BIZ UDPゴシック"/>
        <family val="3"/>
        <charset val="128"/>
      </rPr>
      <t>※6</t>
    </r>
    <r>
      <rPr>
        <sz val="11"/>
        <color theme="1"/>
        <rFont val="BIZ UDPゴシック"/>
        <family val="3"/>
        <charset val="128"/>
      </rPr>
      <t xml:space="preserve">が
</t>
    </r>
    <r>
      <rPr>
        <b/>
        <sz val="13"/>
        <color theme="1"/>
        <rFont val="BIZ UDPゴシック"/>
        <family val="3"/>
        <charset val="128"/>
      </rPr>
      <t>ない</t>
    </r>
    <r>
      <rPr>
        <sz val="11"/>
        <color theme="1"/>
        <rFont val="BIZ UDPゴシック"/>
        <family val="3"/>
        <charset val="128"/>
      </rPr>
      <t>所に設置する窓</t>
    </r>
    <phoneticPr fontId="12"/>
  </si>
  <si>
    <r>
      <rPr>
        <b/>
        <sz val="14"/>
        <color theme="0"/>
        <rFont val="Calibri"/>
        <family val="2"/>
      </rPr>
      <t>η</t>
    </r>
    <r>
      <rPr>
        <b/>
        <vertAlign val="subscript"/>
        <sz val="14"/>
        <color theme="0"/>
        <rFont val="BIZ UDPゴシック"/>
        <family val="3"/>
        <charset val="128"/>
      </rPr>
      <t>d</t>
    </r>
    <r>
      <rPr>
        <b/>
        <sz val="9"/>
        <color theme="0"/>
        <rFont val="BIZ UDPゴシック"/>
        <family val="3"/>
        <charset val="128"/>
      </rPr>
      <t>［―］</t>
    </r>
    <phoneticPr fontId="12"/>
  </si>
  <si>
    <r>
      <t>開口部の日射熱取得率</t>
    </r>
    <r>
      <rPr>
        <b/>
        <sz val="12"/>
        <rFont val="Calibri"/>
        <family val="2"/>
      </rPr>
      <t>η</t>
    </r>
    <r>
      <rPr>
        <b/>
        <vertAlign val="subscript"/>
        <sz val="14"/>
        <rFont val="BIZ UDPゴシック"/>
        <family val="3"/>
        <charset val="128"/>
      </rPr>
      <t>d</t>
    </r>
    <r>
      <rPr>
        <b/>
        <sz val="11"/>
        <rFont val="BIZ UDPゴシック"/>
        <family val="3"/>
        <charset val="128"/>
      </rPr>
      <t>が最大</t>
    </r>
    <r>
      <rPr>
        <sz val="11"/>
        <rFont val="BIZ UDPゴシック"/>
        <family val="3"/>
        <charset val="128"/>
      </rPr>
      <t>の窓</t>
    </r>
    <rPh sb="0" eb="3">
      <t>カイコウブ</t>
    </rPh>
    <rPh sb="4" eb="6">
      <t>ニッシャ</t>
    </rPh>
    <rPh sb="6" eb="7">
      <t>ネツ</t>
    </rPh>
    <rPh sb="7" eb="10">
      <t>シュトクリツ</t>
    </rPh>
    <rPh sb="13" eb="15">
      <t>サイダイ</t>
    </rPh>
    <rPh sb="16" eb="17">
      <t>マド</t>
    </rPh>
    <phoneticPr fontId="12"/>
  </si>
  <si>
    <r>
      <t>日射熱取得率</t>
    </r>
    <r>
      <rPr>
        <b/>
        <sz val="12"/>
        <rFont val="Calibri"/>
        <family val="2"/>
      </rPr>
      <t>η</t>
    </r>
    <r>
      <rPr>
        <b/>
        <vertAlign val="subscript"/>
        <sz val="14"/>
        <rFont val="BIZ UDPゴシック"/>
        <family val="3"/>
        <charset val="128"/>
      </rPr>
      <t>d</t>
    </r>
    <r>
      <rPr>
        <b/>
        <sz val="11"/>
        <rFont val="BIZ UDPゴシック"/>
        <family val="3"/>
        <charset val="128"/>
      </rPr>
      <t>が最大</t>
    </r>
    <rPh sb="0" eb="2">
      <t>ニッシャ</t>
    </rPh>
    <rPh sb="2" eb="3">
      <t>ネツ</t>
    </rPh>
    <rPh sb="3" eb="6">
      <t>シュトクリツ</t>
    </rPh>
    <rPh sb="9" eb="11">
      <t>サイダイ</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</si>
</sst>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0"/>
    <numFmt numFmtId="177" formatCode="0.0"/>
    <numFmt numFmtId="178" formatCode="0.0_ "/>
    <numFmt numFmtId="179" formatCode="0.000_ "/>
    <numFmt numFmtId="180" formatCode="0.00_ "/>
    <numFmt numFmtId="181" formatCode="0_);[Red]\(0\)"/>
  </numFmts>
  <fonts count="103">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sz val="11"/>
      <color theme="1"/>
      <name val="BIZ UDPゴシック"/>
      <family val="3"/>
      <charset val="128"/>
    </font>
    <font>
      <b/>
      <sz val="14"/>
      <color theme="1"/>
      <name val="BIZ UDPゴシック"/>
      <family val="3"/>
      <charset val="128"/>
    </font>
    <font>
      <sz val="10"/>
      <color theme="1"/>
      <name val="BIZ UDPゴシック"/>
      <family val="3"/>
      <charset val="128"/>
    </font>
    <font>
      <sz val="14"/>
      <color theme="1"/>
      <name val="BIZ UDPゴシック"/>
      <family val="3"/>
      <charset val="128"/>
    </font>
    <font>
      <b/>
      <sz val="11"/>
      <color theme="1"/>
      <name val="BIZ UDPゴシック"/>
      <family val="3"/>
      <charset val="128"/>
    </font>
    <font>
      <b/>
      <sz val="20"/>
      <color theme="1"/>
      <name val="BIZ UDPゴシック"/>
      <family val="3"/>
      <charset val="128"/>
    </font>
    <font>
      <sz val="11"/>
      <color rgb="FF0000FF"/>
      <name val="BIZ UDPゴシック"/>
      <family val="3"/>
      <charset val="128"/>
    </font>
    <font>
      <b/>
      <sz val="11"/>
      <color theme="0"/>
      <name val="BIZ UDPゴシック"/>
      <family val="3"/>
      <charset val="128"/>
    </font>
    <font>
      <b/>
      <sz val="9"/>
      <color theme="0"/>
      <name val="BIZ UDPゴシック"/>
      <family val="3"/>
      <charset val="128"/>
    </font>
    <font>
      <b/>
      <sz val="13"/>
      <color theme="1"/>
      <name val="BIZ UDPゴシック"/>
      <family val="3"/>
      <charset val="128"/>
    </font>
    <font>
      <b/>
      <sz val="14"/>
      <color rgb="FFFF0066"/>
      <name val="BIZ UDPゴシック"/>
      <family val="3"/>
      <charset val="128"/>
    </font>
    <font>
      <sz val="12"/>
      <color theme="1"/>
      <name val="BIZ UDPゴシック"/>
      <family val="3"/>
      <charset val="128"/>
    </font>
    <font>
      <sz val="13"/>
      <color theme="1"/>
      <name val="BIZ UDPゴシック"/>
      <family val="3"/>
      <charset val="128"/>
    </font>
    <font>
      <sz val="6"/>
      <name val="Yu Gothic"/>
      <family val="2"/>
      <charset val="128"/>
      <scheme val="minor"/>
    </font>
    <font>
      <sz val="11"/>
      <color theme="1"/>
      <name val="Meiryo UI"/>
      <family val="3"/>
      <charset val="128"/>
    </font>
    <font>
      <b/>
      <sz val="22"/>
      <color theme="1"/>
      <name val="BIZ UDPゴシック"/>
      <family val="3"/>
      <charset val="128"/>
    </font>
    <font>
      <b/>
      <sz val="28"/>
      <color theme="0"/>
      <name val="BIZ UDPゴシック"/>
      <family val="3"/>
      <charset val="128"/>
    </font>
    <font>
      <b/>
      <sz val="28"/>
      <color rgb="FFFF0066"/>
      <name val="BIZ UDPゴシック"/>
      <family val="3"/>
      <charset val="128"/>
    </font>
    <font>
      <sz val="10"/>
      <name val="BIZ UDPゴシック"/>
      <family val="3"/>
      <charset val="128"/>
    </font>
    <font>
      <b/>
      <sz val="24"/>
      <color theme="0"/>
      <name val="BIZ UDPゴシック"/>
      <family val="3"/>
      <charset val="128"/>
    </font>
    <font>
      <sz val="13"/>
      <color theme="1"/>
      <name val="Segoe UI Symbol"/>
      <family val="3"/>
    </font>
    <font>
      <sz val="10"/>
      <color rgb="FF231F20"/>
      <name val="BIZ UDPゴシック"/>
      <family val="3"/>
      <charset val="128"/>
    </font>
    <font>
      <sz val="6"/>
      <name val="ＭＳ Ｐゴシック"/>
      <family val="3"/>
      <charset val="128"/>
    </font>
    <font>
      <b/>
      <sz val="10"/>
      <color rgb="FFFFFFFF"/>
      <name val="BIZ UDPゴシック"/>
      <family val="3"/>
      <charset val="128"/>
    </font>
    <font>
      <b/>
      <sz val="10"/>
      <name val="BIZ UDPゴシック"/>
      <family val="3"/>
      <charset val="128"/>
    </font>
    <font>
      <b/>
      <sz val="11"/>
      <color theme="0"/>
      <name val="Yu Gothic Light"/>
      <family val="3"/>
      <charset val="128"/>
    </font>
    <font>
      <b/>
      <sz val="12"/>
      <color theme="0"/>
      <name val="BIZ UDPゴシック"/>
      <family val="3"/>
      <charset val="128"/>
    </font>
    <font>
      <b/>
      <sz val="12"/>
      <color theme="0"/>
      <name val="Calibri"/>
      <family val="3"/>
      <charset val="161"/>
    </font>
    <font>
      <sz val="11"/>
      <color rgb="FFFF0000"/>
      <name val="Meiryo UI"/>
      <family val="3"/>
      <charset val="128"/>
    </font>
    <font>
      <sz val="11"/>
      <name val="Meiryo UI"/>
      <family val="3"/>
      <charset val="128"/>
    </font>
    <font>
      <sz val="11"/>
      <color theme="0" tint="-0.34998626667073579"/>
      <name val="Meiryo UI"/>
      <family val="3"/>
      <charset val="128"/>
    </font>
    <font>
      <sz val="11"/>
      <color theme="0" tint="-0.34998626667073579"/>
      <name val="BIZ UDPゴシック"/>
      <family val="3"/>
      <charset val="128"/>
    </font>
    <font>
      <b/>
      <sz val="11"/>
      <color theme="0"/>
      <name val="Calibri"/>
      <family val="3"/>
    </font>
    <font>
      <b/>
      <sz val="12"/>
      <color theme="0"/>
      <name val="Calibri"/>
      <family val="2"/>
      <charset val="161"/>
    </font>
    <font>
      <b/>
      <sz val="11"/>
      <color theme="0"/>
      <name val="BIZ UDPゴシック"/>
      <family val="2"/>
      <charset val="161"/>
    </font>
    <font>
      <sz val="6.5"/>
      <color rgb="FF231F20"/>
      <name val="メイリオ"/>
      <family val="3"/>
    </font>
    <font>
      <sz val="11"/>
      <color rgb="FFFFFFFF"/>
      <name val="Meiryo UI"/>
      <family val="3"/>
      <charset val="128"/>
    </font>
    <font>
      <vertAlign val="superscript"/>
      <sz val="11"/>
      <color rgb="FFFFFFFF"/>
      <name val="Meiryo UI"/>
      <family val="3"/>
      <charset val="128"/>
    </font>
    <font>
      <sz val="11"/>
      <color rgb="FF231F20"/>
      <name val="Meiryo UI"/>
      <family val="3"/>
      <charset val="128"/>
    </font>
    <font>
      <sz val="11"/>
      <name val="BIZ UDPゴシック"/>
      <family val="3"/>
      <charset val="128"/>
    </font>
    <font>
      <sz val="10"/>
      <color theme="1" tint="0.499984740745262"/>
      <name val="BIZ UDPゴシック"/>
      <family val="3"/>
      <charset val="128"/>
    </font>
    <font>
      <b/>
      <sz val="11"/>
      <color rgb="FFFF0066"/>
      <name val="BIZ UDPゴシック"/>
      <family val="3"/>
      <charset val="128"/>
    </font>
    <font>
      <sz val="11"/>
      <color rgb="FFFF0066"/>
      <name val="BIZ UDPゴシック"/>
      <family val="3"/>
      <charset val="128"/>
    </font>
    <font>
      <sz val="11"/>
      <color rgb="FFC00000"/>
      <name val="BIZ UDPゴシック"/>
      <family val="3"/>
      <charset val="128"/>
    </font>
    <font>
      <sz val="12"/>
      <name val="BIZ UDPゴシック"/>
      <family val="3"/>
      <charset val="128"/>
    </font>
    <font>
      <sz val="11"/>
      <name val="ＭＳ Ｐゴシック"/>
      <family val="3"/>
      <charset val="128"/>
    </font>
    <font>
      <sz val="10"/>
      <color theme="0" tint="-0.34998626667073579"/>
      <name val="BIZ UDPゴシック"/>
      <family val="3"/>
      <charset val="128"/>
    </font>
    <font>
      <sz val="8"/>
      <color theme="0" tint="-0.499984740745262"/>
      <name val="BIZ UDPゴシック"/>
      <family val="3"/>
      <charset val="128"/>
    </font>
    <font>
      <sz val="10"/>
      <color theme="0" tint="-0.499984740745262"/>
      <name val="BIZ UDPゴシック"/>
      <family val="3"/>
      <charset val="128"/>
    </font>
    <font>
      <u/>
      <sz val="11"/>
      <name val="BIZ UDPゴシック"/>
      <family val="3"/>
      <charset val="128"/>
    </font>
    <font>
      <b/>
      <sz val="26"/>
      <color rgb="FFFF0066"/>
      <name val="BIZ UDPゴシック"/>
      <family val="3"/>
      <charset val="128"/>
    </font>
    <font>
      <b/>
      <sz val="15"/>
      <color rgb="FFFF0066"/>
      <name val="BIZ UDPゴシック"/>
      <family val="3"/>
      <charset val="128"/>
    </font>
    <font>
      <b/>
      <sz val="24"/>
      <color theme="1"/>
      <name val="BIZ UDPゴシック"/>
      <family val="3"/>
      <charset val="128"/>
    </font>
    <font>
      <b/>
      <sz val="22"/>
      <color rgb="FFFF0066"/>
      <name val="BIZ UDPゴシック"/>
      <family val="3"/>
      <charset val="128"/>
    </font>
    <font>
      <b/>
      <sz val="20"/>
      <color rgb="FFFF0066"/>
      <name val="BIZ UDPゴシック"/>
      <family val="3"/>
      <charset val="128"/>
    </font>
    <font>
      <b/>
      <sz val="28"/>
      <color theme="1"/>
      <name val="BIZ UDPゴシック"/>
      <family val="3"/>
      <charset val="128"/>
    </font>
    <font>
      <sz val="11"/>
      <color theme="1"/>
      <name val="Calibri"/>
      <family val="3"/>
      <charset val="161"/>
    </font>
    <font>
      <sz val="13"/>
      <name val="BIZ UDPゴシック"/>
      <family val="3"/>
      <charset val="128"/>
    </font>
    <font>
      <b/>
      <sz val="18"/>
      <name val="BIZ UDPゴシック"/>
      <family val="3"/>
      <charset val="128"/>
    </font>
    <font>
      <b/>
      <sz val="11"/>
      <name val="BIZ UDPゴシック"/>
      <family val="3"/>
      <charset val="128"/>
    </font>
    <font>
      <b/>
      <sz val="16"/>
      <name val="BIZ UDPゴシック"/>
      <family val="3"/>
      <charset val="128"/>
    </font>
    <font>
      <b/>
      <sz val="14"/>
      <name val="BIZ UDPゴシック"/>
      <family val="3"/>
      <charset val="128"/>
    </font>
    <font>
      <sz val="14"/>
      <name val="BIZ UDPゴシック"/>
      <family val="3"/>
      <charset val="128"/>
    </font>
    <font>
      <b/>
      <sz val="12"/>
      <color rgb="FFFF0066"/>
      <name val="BIZ UDPゴシック"/>
      <family val="3"/>
      <charset val="128"/>
    </font>
    <font>
      <sz val="12"/>
      <color rgb="FF00B050"/>
      <name val="BIZ UDPゴシック"/>
      <family val="3"/>
      <charset val="128"/>
    </font>
    <font>
      <sz val="12"/>
      <color theme="1" tint="0.499984740745262"/>
      <name val="BIZ UDPゴシック"/>
      <family val="3"/>
      <charset val="128"/>
    </font>
    <font>
      <sz val="12"/>
      <color rgb="FF0066FF"/>
      <name val="BIZ UDPゴシック"/>
      <family val="3"/>
      <charset val="128"/>
    </font>
    <font>
      <b/>
      <sz val="13"/>
      <color rgb="FFFF0066"/>
      <name val="BIZ UDPゴシック"/>
      <family val="3"/>
      <charset val="128"/>
    </font>
    <font>
      <sz val="6"/>
      <color theme="1"/>
      <name val="BIZ UDPゴシック"/>
      <family val="3"/>
      <charset val="128"/>
    </font>
    <font>
      <sz val="2"/>
      <color theme="1"/>
      <name val="BIZ UDPゴシック"/>
      <family val="3"/>
      <charset val="128"/>
    </font>
    <font>
      <b/>
      <vertAlign val="superscript"/>
      <sz val="11"/>
      <name val="BIZ UDPゴシック"/>
      <family val="3"/>
      <charset val="128"/>
    </font>
    <font>
      <sz val="11"/>
      <name val="Calibri"/>
      <family val="3"/>
      <charset val="161"/>
    </font>
    <font>
      <b/>
      <sz val="18"/>
      <color theme="0"/>
      <name val="BIZ UDPゴシック"/>
      <family val="3"/>
      <charset val="128"/>
    </font>
    <font>
      <b/>
      <sz val="30"/>
      <color theme="0"/>
      <name val="BIZ UDPゴシック"/>
      <family val="3"/>
      <charset val="128"/>
    </font>
    <font>
      <sz val="11"/>
      <name val="HGP創英角ｺﾞｼｯｸUB"/>
      <family val="3"/>
      <charset val="128"/>
    </font>
    <font>
      <sz val="12"/>
      <name val="HGP創英角ｺﾞｼｯｸUB"/>
      <family val="3"/>
      <charset val="128"/>
    </font>
    <font>
      <sz val="11"/>
      <name val="Segoe UI Symbol"/>
      <family val="3"/>
    </font>
    <font>
      <sz val="10.5"/>
      <color theme="1"/>
      <name val="BIZ UDPゴシック"/>
      <family val="3"/>
      <charset val="128"/>
    </font>
    <font>
      <sz val="11"/>
      <color rgb="FF0000FF"/>
      <name val="Meiryo UI"/>
      <family val="3"/>
      <charset val="128"/>
    </font>
    <font>
      <b/>
      <sz val="11"/>
      <color theme="1"/>
      <name val="Yu Gothic"/>
      <family val="3"/>
      <charset val="128"/>
      <scheme val="minor"/>
    </font>
    <font>
      <sz val="11"/>
      <color theme="0" tint="-0.499984740745262"/>
      <name val="Meiryo UI"/>
      <family val="3"/>
      <charset val="128"/>
    </font>
    <font>
      <vertAlign val="superscript"/>
      <sz val="11"/>
      <color theme="1"/>
      <name val="BIZ UDPゴシック"/>
      <family val="3"/>
      <charset val="128"/>
    </font>
    <font>
      <b/>
      <vertAlign val="superscript"/>
      <sz val="13"/>
      <color theme="1"/>
      <name val="BIZ UDPゴシック"/>
      <family val="3"/>
      <charset val="128"/>
    </font>
    <font>
      <vertAlign val="superscript"/>
      <sz val="12"/>
      <color theme="1"/>
      <name val="BIZ UDPゴシック"/>
      <family val="3"/>
      <charset val="128"/>
    </font>
    <font>
      <sz val="11"/>
      <color rgb="FFFF0066"/>
      <name val="Meiryo UI"/>
      <family val="3"/>
      <charset val="128"/>
    </font>
    <font>
      <b/>
      <sz val="14"/>
      <color theme="0"/>
      <name val="Calibri"/>
      <family val="2"/>
    </font>
    <font>
      <b/>
      <vertAlign val="subscript"/>
      <sz val="14"/>
      <color theme="0"/>
      <name val="BIZ UDPゴシック"/>
      <family val="3"/>
      <charset val="128"/>
    </font>
    <font>
      <b/>
      <sz val="12"/>
      <name val="Calibri"/>
      <family val="2"/>
    </font>
    <font>
      <b/>
      <vertAlign val="subscript"/>
      <sz val="14"/>
      <name val="BIZ UDPゴシック"/>
      <family val="3"/>
      <charset val="128"/>
    </font>
    <font>
      <sz val="9"/>
      <name val="Meiryo UI"/>
      <charset val="128"/>
    </font>
  </fonts>
  <fills count="21">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theme="7" tint="0.79998168889431442"/>
        <bgColor indexed="64"/>
      </patternFill>
    </fill>
    <fill>
      <patternFill patternType="solid">
        <fgColor rgb="FFCCFFFF"/>
        <bgColor indexed="64"/>
      </patternFill>
    </fill>
    <fill>
      <patternFill patternType="solid">
        <fgColor theme="1" tint="4.9989318521683403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B6CBD9"/>
      </patternFill>
    </fill>
    <fill>
      <patternFill patternType="solid">
        <fgColor rgb="FFDDE6ED"/>
      </patternFill>
    </fill>
    <fill>
      <patternFill patternType="solid">
        <fgColor rgb="FF076785"/>
      </patternFill>
    </fill>
    <fill>
      <patternFill patternType="solid">
        <fgColor rgb="FFDDE6ED"/>
        <bgColor indexed="64"/>
      </patternFill>
    </fill>
    <fill>
      <patternFill patternType="solid">
        <fgColor rgb="FF407D9A"/>
      </patternFill>
    </fill>
    <fill>
      <patternFill patternType="solid">
        <fgColor rgb="FFFFFF99"/>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CCCCFF"/>
        <bgColor indexed="64"/>
      </patternFill>
    </fill>
    <fill>
      <patternFill patternType="solid">
        <fgColor rgb="FFFFDCDC"/>
        <bgColor indexed="64"/>
      </patternFill>
    </fill>
  </fills>
  <borders count="124">
    <border>
      <left/>
      <right/>
      <top/>
      <bottom/>
      <diagonal/>
    </border>
    <border>
      <left/>
      <right/>
      <top/>
      <bottom style="thick">
        <color auto="1"/>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theme="0"/>
      </top>
      <bottom style="thin">
        <color auto="1"/>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right style="thin">
        <color auto="1"/>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auto="1"/>
      </left>
      <right style="thin">
        <color auto="1"/>
      </right>
      <top/>
      <bottom style="thin">
        <color auto="1"/>
      </bottom>
      <diagonal/>
    </border>
    <border>
      <left/>
      <right style="thin">
        <color theme="0"/>
      </right>
      <top/>
      <bottom style="thin">
        <color auto="1"/>
      </bottom>
      <diagonal/>
    </border>
    <border>
      <left style="thin">
        <color indexed="64"/>
      </left>
      <right style="thin">
        <color indexed="64"/>
      </right>
      <top style="thin">
        <color indexed="64"/>
      </top>
      <bottom/>
      <diagonal/>
    </border>
    <border>
      <left/>
      <right style="thin">
        <color rgb="FF076785"/>
      </right>
      <top/>
      <bottom/>
      <diagonal/>
    </border>
    <border>
      <left/>
      <right style="thin">
        <color rgb="FF076785"/>
      </right>
      <top/>
      <bottom style="thin">
        <color rgb="FF076785"/>
      </bottom>
      <diagonal/>
    </border>
    <border>
      <left style="thin">
        <color rgb="FF076785"/>
      </left>
      <right/>
      <top/>
      <bottom/>
      <diagonal/>
    </border>
    <border>
      <left style="thin">
        <color rgb="FF076785"/>
      </left>
      <right/>
      <top/>
      <bottom style="thin">
        <color rgb="FF076785"/>
      </bottom>
      <diagonal/>
    </border>
    <border>
      <left style="thin">
        <color rgb="FF076785"/>
      </left>
      <right/>
      <top style="thin">
        <color rgb="FF076785"/>
      </top>
      <bottom/>
      <diagonal/>
    </border>
    <border>
      <left/>
      <right/>
      <top style="thin">
        <color rgb="FF076785"/>
      </top>
      <bottom/>
      <diagonal/>
    </border>
    <border>
      <left style="thin">
        <color rgb="FF076785"/>
      </left>
      <right style="thin">
        <color rgb="FF076785"/>
      </right>
      <top style="thin">
        <color rgb="FF076785"/>
      </top>
      <bottom style="thin">
        <color rgb="FF076785"/>
      </bottom>
      <diagonal/>
    </border>
    <border>
      <left/>
      <right style="thin">
        <color rgb="FF076785"/>
      </right>
      <top style="thin">
        <color rgb="FF076785"/>
      </top>
      <bottom/>
      <diagonal/>
    </border>
    <border>
      <left style="thin">
        <color theme="0"/>
      </left>
      <right style="thin">
        <color theme="0"/>
      </right>
      <top/>
      <bottom style="thin">
        <color rgb="FF076785"/>
      </bottom>
      <diagonal/>
    </border>
    <border>
      <left style="thin">
        <color theme="0"/>
      </left>
      <right/>
      <top/>
      <bottom style="thin">
        <color rgb="FF076785"/>
      </bottom>
      <diagonal/>
    </border>
    <border>
      <left style="thin">
        <color theme="0" tint="-4.9989318521683403E-2"/>
      </left>
      <right/>
      <top/>
      <bottom style="thin">
        <color rgb="FF076785"/>
      </bottom>
      <diagonal/>
    </border>
    <border>
      <left style="thin">
        <color theme="0" tint="-4.9989318521683403E-2"/>
      </left>
      <right/>
      <top/>
      <bottom/>
      <diagonal/>
    </border>
    <border>
      <left style="thin">
        <color rgb="FF076785"/>
      </left>
      <right/>
      <top style="thin">
        <color rgb="FF076785"/>
      </top>
      <bottom style="thin">
        <color rgb="FF076785"/>
      </bottom>
      <diagonal/>
    </border>
    <border>
      <left/>
      <right/>
      <top style="thin">
        <color rgb="FF076785"/>
      </top>
      <bottom style="thin">
        <color rgb="FF076785"/>
      </bottom>
      <diagonal/>
    </border>
    <border>
      <left/>
      <right style="thin">
        <color rgb="FF076785"/>
      </right>
      <top style="thin">
        <color rgb="FF076785"/>
      </top>
      <bottom style="thin">
        <color rgb="FF076785"/>
      </bottom>
      <diagonal/>
    </border>
    <border>
      <left style="thin">
        <color rgb="FF076785"/>
      </left>
      <right style="thin">
        <color rgb="FF076785"/>
      </right>
      <top style="thin">
        <color rgb="FF076785"/>
      </top>
      <bottom/>
      <diagonal/>
    </border>
    <border>
      <left style="thin">
        <color rgb="FF076785"/>
      </left>
      <right style="thin">
        <color rgb="FF076785"/>
      </right>
      <top/>
      <bottom/>
      <diagonal/>
    </border>
    <border>
      <left style="thin">
        <color rgb="FF076785"/>
      </left>
      <right style="thin">
        <color rgb="FF076785"/>
      </right>
      <top/>
      <bottom style="thin">
        <color rgb="FF076785"/>
      </bottom>
      <diagonal/>
    </border>
    <border>
      <left/>
      <right/>
      <top/>
      <bottom style="thin">
        <color rgb="FF076785"/>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right/>
      <top style="thin">
        <color theme="0" tint="-0.499984740745262"/>
      </top>
      <bottom/>
      <diagonal/>
    </border>
    <border>
      <left/>
      <right style="thin">
        <color theme="0" tint="-0.499984740745262"/>
      </right>
      <top/>
      <bottom/>
      <diagonal/>
    </border>
    <border>
      <left/>
      <right style="thin">
        <color theme="0"/>
      </right>
      <top/>
      <bottom style="thin">
        <color rgb="FF076785"/>
      </bottom>
      <diagonal/>
    </border>
    <border diagonalUp="1">
      <left style="thin">
        <color auto="1"/>
      </left>
      <right style="thin">
        <color auto="1"/>
      </right>
      <top style="thin">
        <color auto="1"/>
      </top>
      <bottom style="thin">
        <color auto="1"/>
      </bottom>
      <diagonal style="thin">
        <color auto="1"/>
      </diagonal>
    </border>
    <border>
      <left style="thin">
        <color theme="0"/>
      </left>
      <right/>
      <top/>
      <bottom style="thin">
        <color auto="1"/>
      </bottom>
      <diagonal/>
    </border>
    <border>
      <left style="thin">
        <color theme="0"/>
      </left>
      <right/>
      <top style="thin">
        <color auto="1"/>
      </top>
      <bottom/>
      <diagonal/>
    </border>
    <border>
      <left style="thin">
        <color theme="0"/>
      </left>
      <right style="thin">
        <color theme="0"/>
      </right>
      <top style="thin">
        <color auto="1"/>
      </top>
      <bottom/>
      <diagonal/>
    </border>
    <border>
      <left/>
      <right style="thin">
        <color theme="0"/>
      </right>
      <top style="thin">
        <color auto="1"/>
      </top>
      <bottom/>
      <diagonal/>
    </border>
    <border>
      <left style="thin">
        <color theme="0"/>
      </left>
      <right style="thin">
        <color theme="0"/>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top/>
      <bottom style="medium">
        <color indexed="64"/>
      </bottom>
      <diagonal/>
    </border>
    <border>
      <left style="thin">
        <color auto="1"/>
      </left>
      <right style="medium">
        <color indexed="64"/>
      </right>
      <top style="thin">
        <color auto="1"/>
      </top>
      <bottom style="medium">
        <color indexed="64"/>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right style="medium">
        <color indexed="64"/>
      </right>
      <top style="thin">
        <color auto="1"/>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right style="thin">
        <color auto="1"/>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auto="1"/>
      </left>
      <right/>
      <top style="thin">
        <color auto="1"/>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auto="1"/>
      </left>
      <right/>
      <top/>
      <bottom style="medium">
        <color auto="1"/>
      </bottom>
      <diagonal/>
    </border>
    <border>
      <left/>
      <right style="medium">
        <color auto="1"/>
      </right>
      <top/>
      <bottom style="thin">
        <color auto="1"/>
      </bottom>
      <diagonal/>
    </border>
    <border>
      <left/>
      <right style="thin">
        <color auto="1"/>
      </right>
      <top style="medium">
        <color auto="1"/>
      </top>
      <bottom style="medium">
        <color auto="1"/>
      </bottom>
      <diagonal/>
    </border>
    <border>
      <left style="medium">
        <color auto="1"/>
      </left>
      <right/>
      <top style="thin">
        <color auto="1"/>
      </top>
      <bottom/>
      <diagonal/>
    </border>
    <border>
      <left style="medium">
        <color indexed="64"/>
      </left>
      <right style="thin">
        <color auto="1"/>
      </right>
      <top style="thin">
        <color auto="1"/>
      </top>
      <bottom/>
      <diagonal/>
    </border>
    <border diagonalUp="1">
      <left style="thin">
        <color auto="1"/>
      </left>
      <right style="thin">
        <color auto="1"/>
      </right>
      <top style="medium">
        <color indexed="64"/>
      </top>
      <bottom style="thin">
        <color auto="1"/>
      </bottom>
      <diagonal style="thin">
        <color auto="1"/>
      </diagonal>
    </border>
    <border diagonalUp="1">
      <left style="thin">
        <color auto="1"/>
      </left>
      <right style="medium">
        <color auto="1"/>
      </right>
      <top style="medium">
        <color indexed="64"/>
      </top>
      <bottom style="thin">
        <color auto="1"/>
      </bottom>
      <diagonal style="thin">
        <color auto="1"/>
      </diagonal>
    </border>
    <border>
      <left style="thin">
        <color theme="0"/>
      </left>
      <right/>
      <top/>
      <bottom style="thin">
        <color theme="0"/>
      </bottom>
      <diagonal/>
    </border>
    <border>
      <left/>
      <right style="thin">
        <color theme="0"/>
      </right>
      <top/>
      <bottom style="thin">
        <color theme="0"/>
      </bottom>
      <diagonal/>
    </border>
    <border>
      <left/>
      <right style="thin">
        <color auto="1"/>
      </right>
      <top style="medium">
        <color indexed="64"/>
      </top>
      <bottom/>
      <diagonal/>
    </border>
    <border>
      <left style="medium">
        <color auto="1"/>
      </left>
      <right/>
      <top style="medium">
        <color auto="1"/>
      </top>
      <bottom/>
      <diagonal/>
    </border>
    <border>
      <left/>
      <right style="medium">
        <color indexed="64"/>
      </right>
      <top style="medium">
        <color indexed="64"/>
      </top>
      <bottom/>
      <diagonal/>
    </border>
    <border>
      <left style="medium">
        <color auto="1"/>
      </left>
      <right style="medium">
        <color auto="1"/>
      </right>
      <top style="medium">
        <color auto="1"/>
      </top>
      <bottom/>
      <diagonal/>
    </border>
    <border>
      <left style="thin">
        <color auto="1"/>
      </left>
      <right/>
      <top style="medium">
        <color indexed="64"/>
      </top>
      <bottom/>
      <diagonal/>
    </border>
    <border diagonalUp="1">
      <left style="thin">
        <color auto="1"/>
      </left>
      <right/>
      <top style="medium">
        <color indexed="64"/>
      </top>
      <bottom style="thin">
        <color auto="1"/>
      </bottom>
      <diagonal style="thin">
        <color auto="1"/>
      </diagonal>
    </border>
    <border>
      <left style="thin">
        <color auto="1"/>
      </left>
      <right/>
      <top style="medium">
        <color indexed="64"/>
      </top>
      <bottom style="medium">
        <color indexed="64"/>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indexed="64"/>
      </right>
      <top style="medium">
        <color indexed="64"/>
      </top>
      <bottom style="medium">
        <color indexed="64"/>
      </bottom>
      <diagonal/>
    </border>
    <border diagonalUp="1">
      <left style="medium">
        <color indexed="64"/>
      </left>
      <right style="thin">
        <color auto="1"/>
      </right>
      <top style="thin">
        <color auto="1"/>
      </top>
      <bottom style="thin">
        <color auto="1"/>
      </bottom>
      <diagonal style="thin">
        <color indexed="64"/>
      </diagonal>
    </border>
    <border diagonalUp="1">
      <left style="medium">
        <color indexed="64"/>
      </left>
      <right style="thin">
        <color indexed="64"/>
      </right>
      <top style="thin">
        <color auto="1"/>
      </top>
      <bottom style="medium">
        <color indexed="64"/>
      </bottom>
      <diagonal style="thin">
        <color indexed="64"/>
      </diagonal>
    </border>
    <border>
      <left style="thin">
        <color indexed="64"/>
      </left>
      <right style="thin">
        <color indexed="64"/>
      </right>
      <top/>
      <bottom style="medium">
        <color indexed="64"/>
      </bottom>
      <diagonal/>
    </border>
    <border>
      <left style="thin">
        <color auto="1"/>
      </left>
      <right style="thin">
        <color auto="1"/>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bottom/>
      <diagonal/>
    </border>
    <border>
      <left/>
      <right/>
      <top style="thin">
        <color theme="0" tint="-0.34998626667073579"/>
      </top>
      <bottom/>
      <diagonal/>
    </border>
    <border>
      <left style="thin">
        <color theme="0"/>
      </left>
      <right style="thin">
        <color auto="1"/>
      </right>
      <top style="thin">
        <color auto="1"/>
      </top>
      <bottom/>
      <diagonal/>
    </border>
    <border>
      <left style="thin">
        <color theme="0"/>
      </left>
      <right style="thin">
        <color auto="1"/>
      </right>
      <top/>
      <bottom/>
      <diagonal/>
    </border>
    <border>
      <left style="thin">
        <color theme="0"/>
      </left>
      <right style="thin">
        <color auto="1"/>
      </right>
      <top/>
      <bottom style="thin">
        <color auto="1"/>
      </bottom>
      <diagonal/>
    </border>
    <border diagonalUp="1">
      <left style="thin">
        <color auto="1"/>
      </left>
      <right style="thin">
        <color auto="1"/>
      </right>
      <top/>
      <bottom style="thin">
        <color auto="1"/>
      </bottom>
      <diagonal style="thin">
        <color auto="1"/>
      </diagonal>
    </border>
    <border>
      <left style="thin">
        <color auto="1"/>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style="thin">
        <color auto="1"/>
      </right>
      <top style="thin">
        <color theme="0"/>
      </top>
      <bottom style="thin">
        <color auto="1"/>
      </bottom>
      <diagonal/>
    </border>
    <border diagonalUp="1">
      <left/>
      <right/>
      <top/>
      <bottom/>
      <diagonal style="thin">
        <color auto="1"/>
      </diagonal>
    </border>
    <border>
      <left style="thin">
        <color theme="0"/>
      </left>
      <right style="thin">
        <color theme="0"/>
      </right>
      <top style="thin">
        <color theme="0"/>
      </top>
      <bottom/>
      <diagonal/>
    </border>
    <border>
      <left style="medium">
        <color auto="1"/>
      </left>
      <right style="medium">
        <color auto="1"/>
      </right>
      <top style="thin">
        <color auto="1"/>
      </top>
      <bottom style="medium">
        <color auto="1"/>
      </bottom>
      <diagonal/>
    </border>
  </borders>
  <cellStyleXfs count="34">
    <xf numFmtId="0" fontId="0" fillId="0" borderId="0"/>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8" fillId="0" borderId="0"/>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788">
    <xf numFmtId="0" fontId="0" fillId="0" borderId="0" xfId="0"/>
    <xf numFmtId="0" fontId="13" fillId="0" borderId="0" xfId="0" applyFont="1" applyAlignment="1">
      <alignment vertical="center"/>
    </xf>
    <xf numFmtId="0" fontId="15" fillId="0" borderId="0" xfId="0" applyFont="1" applyAlignment="1">
      <alignment vertical="center"/>
    </xf>
    <xf numFmtId="0" fontId="13" fillId="0" borderId="1" xfId="0" applyFont="1" applyBorder="1" applyAlignment="1">
      <alignment vertical="center"/>
    </xf>
    <xf numFmtId="0" fontId="19" fillId="0" borderId="0" xfId="0" applyFont="1" applyAlignment="1">
      <alignment vertical="center"/>
    </xf>
    <xf numFmtId="0" fontId="20" fillId="3" borderId="2" xfId="0" applyFont="1" applyFill="1" applyBorder="1" applyAlignment="1">
      <alignment horizontal="center" vertical="center"/>
    </xf>
    <xf numFmtId="0" fontId="20" fillId="3" borderId="3" xfId="0" applyFont="1" applyFill="1" applyBorder="1" applyAlignment="1">
      <alignment horizontal="center" vertical="center"/>
    </xf>
    <xf numFmtId="0" fontId="20" fillId="3" borderId="4" xfId="0" applyFont="1" applyFill="1" applyBorder="1" applyAlignment="1">
      <alignment horizontal="center" vertical="center"/>
    </xf>
    <xf numFmtId="0" fontId="17" fillId="0" borderId="0" xfId="0" applyFont="1" applyAlignment="1">
      <alignment vertical="center"/>
    </xf>
    <xf numFmtId="0" fontId="20" fillId="3" borderId="3" xfId="0" applyFont="1" applyFill="1" applyBorder="1" applyAlignment="1">
      <alignment horizontal="center" vertical="center" wrapText="1"/>
    </xf>
    <xf numFmtId="0" fontId="13" fillId="0" borderId="6" xfId="0" applyFont="1" applyBorder="1" applyAlignment="1">
      <alignment horizontal="center" vertical="center"/>
    </xf>
    <xf numFmtId="0" fontId="13" fillId="0" borderId="6" xfId="0" applyFont="1" applyBorder="1" applyAlignment="1">
      <alignment vertical="center"/>
    </xf>
    <xf numFmtId="0" fontId="13" fillId="4" borderId="5" xfId="0" applyFont="1" applyFill="1" applyBorder="1" applyAlignment="1">
      <alignment horizontal="center" vertical="center" wrapText="1"/>
    </xf>
    <xf numFmtId="0" fontId="16" fillId="0" borderId="0" xfId="0" applyFont="1" applyAlignment="1">
      <alignment vertical="center"/>
    </xf>
    <xf numFmtId="0" fontId="13" fillId="0" borderId="15" xfId="0" applyFont="1" applyBorder="1" applyAlignment="1">
      <alignment vertical="center"/>
    </xf>
    <xf numFmtId="0" fontId="13" fillId="0" borderId="16" xfId="0" applyFont="1" applyBorder="1" applyAlignment="1">
      <alignment vertical="center"/>
    </xf>
    <xf numFmtId="0" fontId="25" fillId="0" borderId="13" xfId="0" applyFont="1" applyBorder="1" applyAlignment="1">
      <alignment vertical="center"/>
    </xf>
    <xf numFmtId="0" fontId="13" fillId="7" borderId="0" xfId="0" applyFont="1" applyFill="1" applyAlignment="1">
      <alignment vertical="center"/>
    </xf>
    <xf numFmtId="0" fontId="25" fillId="0" borderId="11" xfId="0" applyFont="1" applyBorder="1" applyAlignment="1">
      <alignment vertical="center"/>
    </xf>
    <xf numFmtId="0" fontId="16" fillId="7" borderId="0" xfId="0" applyFont="1" applyFill="1" applyAlignment="1">
      <alignment horizontal="center" vertical="center"/>
    </xf>
    <xf numFmtId="0" fontId="25" fillId="0" borderId="12" xfId="0" applyFont="1" applyBorder="1" applyAlignment="1">
      <alignment vertical="center"/>
    </xf>
    <xf numFmtId="0" fontId="13" fillId="0" borderId="5" xfId="0" applyFont="1" applyBorder="1" applyAlignment="1">
      <alignment vertical="center" wrapText="1"/>
    </xf>
    <xf numFmtId="0" fontId="23" fillId="0" borderId="0" xfId="0" applyFont="1" applyAlignment="1">
      <alignment vertical="center"/>
    </xf>
    <xf numFmtId="0" fontId="20" fillId="3" borderId="19" xfId="0" applyFont="1" applyFill="1" applyBorder="1" applyAlignment="1">
      <alignment horizontal="center" vertical="center"/>
    </xf>
    <xf numFmtId="0" fontId="27" fillId="3" borderId="6" xfId="0" applyFont="1" applyFill="1" applyBorder="1" applyAlignment="1">
      <alignment horizontal="center" vertical="center"/>
    </xf>
    <xf numFmtId="0" fontId="13" fillId="8" borderId="0" xfId="0" applyFont="1" applyFill="1" applyAlignment="1">
      <alignment vertical="center"/>
    </xf>
    <xf numFmtId="0" fontId="13" fillId="8" borderId="0" xfId="0" applyFont="1" applyFill="1" applyAlignment="1">
      <alignment vertical="center" wrapText="1"/>
    </xf>
    <xf numFmtId="0" fontId="13" fillId="0" borderId="0" xfId="2" applyFont="1">
      <alignment vertical="center"/>
    </xf>
    <xf numFmtId="0" fontId="15" fillId="0" borderId="0" xfId="2" applyFont="1">
      <alignment vertical="center"/>
    </xf>
    <xf numFmtId="0" fontId="31" fillId="0" borderId="0" xfId="2" applyFont="1" applyAlignment="1">
      <alignment vertical="center" wrapText="1"/>
    </xf>
    <xf numFmtId="0" fontId="24" fillId="0" borderId="0" xfId="0" applyFont="1" applyAlignment="1">
      <alignment vertical="center"/>
    </xf>
    <xf numFmtId="0" fontId="31" fillId="10" borderId="25" xfId="0" applyFont="1" applyFill="1" applyBorder="1" applyAlignment="1">
      <alignment vertical="center" wrapText="1"/>
    </xf>
    <xf numFmtId="0" fontId="31" fillId="10" borderId="28" xfId="0" applyFont="1" applyFill="1" applyBorder="1" applyAlignment="1">
      <alignment vertical="center" wrapText="1"/>
    </xf>
    <xf numFmtId="0" fontId="13" fillId="0" borderId="27" xfId="2" applyFont="1" applyBorder="1">
      <alignment vertical="center"/>
    </xf>
    <xf numFmtId="0" fontId="36" fillId="11" borderId="0" xfId="0" applyFont="1" applyFill="1" applyAlignment="1">
      <alignment vertical="center" wrapText="1"/>
    </xf>
    <xf numFmtId="0" fontId="37" fillId="11" borderId="0" xfId="0" applyFont="1" applyFill="1" applyAlignment="1">
      <alignment vertical="center" wrapText="1"/>
    </xf>
    <xf numFmtId="0" fontId="36" fillId="11" borderId="0" xfId="0" applyFont="1" applyFill="1" applyAlignment="1">
      <alignment horizontal="center" vertical="center" wrapText="1"/>
    </xf>
    <xf numFmtId="0" fontId="36" fillId="11" borderId="3" xfId="0" applyFont="1" applyFill="1" applyBorder="1" applyAlignment="1">
      <alignment horizontal="center" vertical="center" wrapText="1"/>
    </xf>
    <xf numFmtId="0" fontId="36" fillId="11" borderId="29" xfId="0" applyFont="1" applyFill="1" applyBorder="1" applyAlignment="1">
      <alignment horizontal="center" vertical="center" wrapText="1"/>
    </xf>
    <xf numFmtId="0" fontId="36" fillId="11" borderId="4" xfId="0" applyFont="1" applyFill="1" applyBorder="1" applyAlignment="1">
      <alignment horizontal="center" vertical="center" wrapText="1"/>
    </xf>
    <xf numFmtId="0" fontId="36" fillId="11" borderId="30" xfId="0" applyFont="1" applyFill="1" applyBorder="1" applyAlignment="1">
      <alignment horizontal="center" vertical="center" wrapText="1"/>
    </xf>
    <xf numFmtId="176" fontId="13" fillId="0" borderId="27" xfId="2" applyNumberFormat="1" applyFont="1" applyBorder="1">
      <alignment vertical="center"/>
    </xf>
    <xf numFmtId="0" fontId="36" fillId="11" borderId="32" xfId="0" applyFont="1" applyFill="1" applyBorder="1" applyAlignment="1">
      <alignment horizontal="center" vertical="center" wrapText="1"/>
    </xf>
    <xf numFmtId="0" fontId="36" fillId="11" borderId="31" xfId="0" applyFont="1" applyFill="1" applyBorder="1" applyAlignment="1">
      <alignment horizontal="center" vertical="center" wrapText="1"/>
    </xf>
    <xf numFmtId="0" fontId="31" fillId="10" borderId="26" xfId="0" applyFont="1" applyFill="1" applyBorder="1" applyAlignment="1">
      <alignment vertical="center" wrapText="1"/>
    </xf>
    <xf numFmtId="0" fontId="31" fillId="12" borderId="28" xfId="0" applyFont="1" applyFill="1" applyBorder="1" applyAlignment="1">
      <alignment vertical="center" wrapText="1"/>
    </xf>
    <xf numFmtId="0" fontId="15" fillId="12" borderId="27" xfId="2" applyFont="1" applyFill="1" applyBorder="1">
      <alignment vertical="center"/>
    </xf>
    <xf numFmtId="0" fontId="31" fillId="10" borderId="25" xfId="0" applyFont="1" applyFill="1" applyBorder="1" applyAlignment="1">
      <alignment vertical="center"/>
    </xf>
    <xf numFmtId="0" fontId="31" fillId="10" borderId="33" xfId="0" applyFont="1" applyFill="1" applyBorder="1" applyAlignment="1">
      <alignment vertical="center" wrapText="1"/>
    </xf>
    <xf numFmtId="0" fontId="31" fillId="10" borderId="34" xfId="0" applyFont="1" applyFill="1" applyBorder="1" applyAlignment="1">
      <alignment vertical="center" wrapText="1"/>
    </xf>
    <xf numFmtId="0" fontId="31" fillId="12" borderId="35" xfId="0" applyFont="1" applyFill="1" applyBorder="1" applyAlignment="1">
      <alignment vertical="center" wrapText="1"/>
    </xf>
    <xf numFmtId="0" fontId="15" fillId="12" borderId="34" xfId="2" applyFont="1" applyFill="1" applyBorder="1">
      <alignment vertical="center"/>
    </xf>
    <xf numFmtId="0" fontId="13" fillId="0" borderId="36" xfId="2" applyFont="1" applyBorder="1">
      <alignment vertical="center"/>
    </xf>
    <xf numFmtId="0" fontId="13" fillId="0" borderId="37" xfId="2" applyFont="1" applyBorder="1">
      <alignment vertical="center"/>
    </xf>
    <xf numFmtId="0" fontId="13" fillId="0" borderId="38" xfId="2" applyFont="1" applyBorder="1">
      <alignment vertical="center"/>
    </xf>
    <xf numFmtId="0" fontId="15" fillId="12" borderId="33" xfId="2" applyFont="1" applyFill="1" applyBorder="1">
      <alignment vertical="center"/>
    </xf>
    <xf numFmtId="0" fontId="15" fillId="12" borderId="33" xfId="2" applyFont="1" applyFill="1" applyBorder="1" applyAlignment="1">
      <alignment horizontal="left" vertical="center"/>
    </xf>
    <xf numFmtId="0" fontId="15" fillId="12" borderId="35" xfId="2" applyFont="1" applyFill="1" applyBorder="1">
      <alignment vertical="center"/>
    </xf>
    <xf numFmtId="0" fontId="39" fillId="3" borderId="2" xfId="0" applyFont="1" applyFill="1" applyBorder="1" applyAlignment="1">
      <alignment horizontal="center" vertical="center"/>
    </xf>
    <xf numFmtId="0" fontId="39" fillId="3" borderId="3" xfId="0" applyFont="1" applyFill="1" applyBorder="1" applyAlignment="1">
      <alignment horizontal="center" vertical="center"/>
    </xf>
    <xf numFmtId="0" fontId="27" fillId="0" borderId="0" xfId="3" applyFont="1">
      <alignment vertical="center"/>
    </xf>
    <xf numFmtId="0" fontId="27" fillId="0" borderId="0" xfId="2" applyFont="1">
      <alignment vertical="center"/>
    </xf>
    <xf numFmtId="0" fontId="41" fillId="0" borderId="40" xfId="3" applyFont="1" applyBorder="1" applyAlignment="1">
      <alignment vertical="center" wrapText="1"/>
    </xf>
    <xf numFmtId="0" fontId="41" fillId="0" borderId="0" xfId="3" applyFont="1" applyAlignment="1">
      <alignment vertical="center" wrapText="1"/>
    </xf>
    <xf numFmtId="0" fontId="41" fillId="0" borderId="0" xfId="3" applyFont="1">
      <alignment vertical="center"/>
    </xf>
    <xf numFmtId="0" fontId="42" fillId="0" borderId="41" xfId="3" applyFont="1" applyBorder="1" applyAlignment="1">
      <alignment vertical="center" wrapText="1"/>
    </xf>
    <xf numFmtId="0" fontId="42" fillId="0" borderId="42" xfId="3" applyFont="1" applyBorder="1" applyAlignment="1">
      <alignment vertical="center" wrapText="1"/>
    </xf>
    <xf numFmtId="0" fontId="27" fillId="0" borderId="43" xfId="3" applyFont="1" applyBorder="1">
      <alignment vertical="center"/>
    </xf>
    <xf numFmtId="0" fontId="42" fillId="0" borderId="0" xfId="3" applyFont="1" applyAlignment="1">
      <alignment vertical="center" wrapText="1"/>
    </xf>
    <xf numFmtId="0" fontId="42" fillId="0" borderId="41" xfId="3" applyFont="1" applyBorder="1">
      <alignment vertical="center"/>
    </xf>
    <xf numFmtId="0" fontId="42" fillId="0" borderId="42" xfId="3" applyFont="1" applyBorder="1">
      <alignment vertical="center"/>
    </xf>
    <xf numFmtId="0" fontId="42" fillId="0" borderId="0" xfId="3" applyFont="1">
      <alignment vertical="center"/>
    </xf>
    <xf numFmtId="0" fontId="42" fillId="0" borderId="44" xfId="3" applyFont="1" applyBorder="1" applyAlignment="1">
      <alignment vertical="center" wrapText="1"/>
    </xf>
    <xf numFmtId="0" fontId="42" fillId="12" borderId="41" xfId="3" applyFont="1" applyFill="1" applyBorder="1" applyAlignment="1">
      <alignment vertical="center" wrapText="1"/>
    </xf>
    <xf numFmtId="0" fontId="43" fillId="0" borderId="0" xfId="0" applyFont="1" applyAlignment="1">
      <alignment vertical="center"/>
    </xf>
    <xf numFmtId="0" fontId="44" fillId="0" borderId="0" xfId="0" applyFont="1" applyAlignment="1">
      <alignment vertical="center"/>
    </xf>
    <xf numFmtId="0" fontId="0" fillId="0" borderId="0" xfId="0" applyAlignment="1">
      <alignment horizontal="left" vertical="center" wrapText="1"/>
    </xf>
    <xf numFmtId="0" fontId="42" fillId="13" borderId="39" xfId="0" applyFont="1" applyFill="1" applyBorder="1" applyAlignment="1">
      <alignment horizontal="left" vertical="top" wrapText="1"/>
    </xf>
    <xf numFmtId="0" fontId="42" fillId="13" borderId="39" xfId="0" applyFont="1" applyFill="1" applyBorder="1" applyAlignment="1">
      <alignment horizontal="center" vertical="top" wrapText="1"/>
    </xf>
    <xf numFmtId="2" fontId="51" fillId="0" borderId="27" xfId="0" applyNumberFormat="1" applyFont="1" applyBorder="1" applyAlignment="1">
      <alignment horizontal="center" vertical="top" shrinkToFit="1"/>
    </xf>
    <xf numFmtId="2" fontId="51" fillId="0" borderId="33" xfId="0" applyNumberFormat="1" applyFont="1" applyBorder="1" applyAlignment="1">
      <alignment horizontal="center" vertical="top" shrinkToFit="1"/>
    </xf>
    <xf numFmtId="0" fontId="42" fillId="0" borderId="27" xfId="0" applyFont="1" applyBorder="1" applyAlignment="1">
      <alignment horizontal="left" vertical="top" wrapText="1"/>
    </xf>
    <xf numFmtId="2" fontId="42" fillId="0" borderId="0" xfId="3" applyNumberFormat="1" applyFont="1" applyAlignment="1">
      <alignment vertical="center" wrapText="1"/>
    </xf>
    <xf numFmtId="0" fontId="42" fillId="11" borderId="0" xfId="0" applyFont="1" applyFill="1" applyAlignment="1">
      <alignment horizontal="center" vertical="top" wrapText="1"/>
    </xf>
    <xf numFmtId="0" fontId="42" fillId="0" borderId="33" xfId="0" applyFont="1" applyBorder="1" applyAlignment="1">
      <alignment horizontal="left" vertical="top" wrapText="1"/>
    </xf>
    <xf numFmtId="0" fontId="42" fillId="0" borderId="34" xfId="0" applyFont="1" applyBorder="1" applyAlignment="1">
      <alignment horizontal="left" vertical="top" wrapText="1"/>
    </xf>
    <xf numFmtId="0" fontId="42" fillId="0" borderId="35" xfId="0" applyFont="1" applyBorder="1" applyAlignment="1">
      <alignment horizontal="left" vertical="top" wrapText="1"/>
    </xf>
    <xf numFmtId="0" fontId="49" fillId="13" borderId="39" xfId="0" applyFont="1" applyFill="1" applyBorder="1" applyAlignment="1">
      <alignment horizontal="center" vertical="top" wrapText="1"/>
    </xf>
    <xf numFmtId="0" fontId="49" fillId="11" borderId="0" xfId="0" applyFont="1" applyFill="1" applyAlignment="1">
      <alignment horizontal="center" vertical="top" wrapText="1"/>
    </xf>
    <xf numFmtId="0" fontId="49" fillId="13" borderId="29" xfId="0" applyFont="1" applyFill="1" applyBorder="1" applyAlignment="1">
      <alignment horizontal="center" vertical="top" wrapText="1"/>
    </xf>
    <xf numFmtId="0" fontId="49" fillId="13" borderId="30" xfId="0" applyFont="1" applyFill="1" applyBorder="1" applyAlignment="1">
      <alignment horizontal="center" vertical="top" wrapText="1"/>
    </xf>
    <xf numFmtId="0" fontId="42" fillId="9" borderId="0" xfId="0" applyFont="1" applyFill="1" applyAlignment="1">
      <alignment vertical="top"/>
    </xf>
    <xf numFmtId="0" fontId="42" fillId="12" borderId="0" xfId="0" applyFont="1" applyFill="1" applyAlignment="1">
      <alignment vertical="top"/>
    </xf>
    <xf numFmtId="0" fontId="27" fillId="12" borderId="0" xfId="2" applyFont="1" applyFill="1">
      <alignment vertical="center"/>
    </xf>
    <xf numFmtId="0" fontId="51" fillId="12" borderId="0" xfId="0" applyFont="1" applyFill="1" applyAlignment="1">
      <alignment vertical="top"/>
    </xf>
    <xf numFmtId="0" fontId="42" fillId="9" borderId="21" xfId="0" applyFont="1" applyFill="1" applyBorder="1" applyAlignment="1">
      <alignment vertical="top"/>
    </xf>
    <xf numFmtId="0" fontId="42" fillId="10" borderId="23" xfId="0" applyFont="1" applyFill="1" applyBorder="1" applyAlignment="1">
      <alignment vertical="top"/>
    </xf>
    <xf numFmtId="0" fontId="42" fillId="10" borderId="21" xfId="0" applyFont="1" applyFill="1" applyBorder="1" applyAlignment="1">
      <alignment vertical="top"/>
    </xf>
    <xf numFmtId="0" fontId="42" fillId="10" borderId="24" xfId="0" applyFont="1" applyFill="1" applyBorder="1" applyAlignment="1">
      <alignment vertical="top"/>
    </xf>
    <xf numFmtId="0" fontId="42" fillId="10" borderId="22" xfId="0" applyFont="1" applyFill="1" applyBorder="1" applyAlignment="1">
      <alignment vertical="top"/>
    </xf>
    <xf numFmtId="0" fontId="42" fillId="10" borderId="25" xfId="0" applyFont="1" applyFill="1" applyBorder="1" applyAlignment="1">
      <alignment vertical="top"/>
    </xf>
    <xf numFmtId="0" fontId="42" fillId="10" borderId="28" xfId="0" applyFont="1" applyFill="1" applyBorder="1" applyAlignment="1">
      <alignment vertical="top"/>
    </xf>
    <xf numFmtId="0" fontId="42" fillId="9" borderId="39" xfId="0" applyFont="1" applyFill="1" applyBorder="1" applyAlignment="1">
      <alignment vertical="top"/>
    </xf>
    <xf numFmtId="0" fontId="42" fillId="9" borderId="22" xfId="0" applyFont="1" applyFill="1" applyBorder="1" applyAlignment="1">
      <alignment vertical="top"/>
    </xf>
    <xf numFmtId="0" fontId="42" fillId="10" borderId="33" xfId="0" applyFont="1" applyFill="1" applyBorder="1" applyAlignment="1">
      <alignment vertical="top"/>
    </xf>
    <xf numFmtId="0" fontId="42" fillId="10" borderId="35" xfId="0" applyFont="1" applyFill="1" applyBorder="1" applyAlignment="1">
      <alignment vertical="top"/>
    </xf>
    <xf numFmtId="0" fontId="51" fillId="9" borderId="26" xfId="0" applyFont="1" applyFill="1" applyBorder="1" applyAlignment="1">
      <alignment vertical="top"/>
    </xf>
    <xf numFmtId="0" fontId="27" fillId="9" borderId="28" xfId="0" applyFont="1" applyFill="1" applyBorder="1" applyAlignment="1">
      <alignment vertical="top"/>
    </xf>
    <xf numFmtId="0" fontId="27" fillId="9" borderId="0" xfId="0" applyFont="1" applyFill="1" applyAlignment="1">
      <alignment vertical="top"/>
    </xf>
    <xf numFmtId="0" fontId="27" fillId="9" borderId="21" xfId="0" applyFont="1" applyFill="1" applyBorder="1" applyAlignment="1">
      <alignment vertical="top"/>
    </xf>
    <xf numFmtId="0" fontId="27" fillId="9" borderId="39" xfId="0" applyFont="1" applyFill="1" applyBorder="1" applyAlignment="1">
      <alignment vertical="top"/>
    </xf>
    <xf numFmtId="0" fontId="27" fillId="9" borderId="22" xfId="0" applyFont="1" applyFill="1" applyBorder="1" applyAlignment="1">
      <alignment vertical="top"/>
    </xf>
    <xf numFmtId="0" fontId="27" fillId="9" borderId="26" xfId="0" applyFont="1" applyFill="1" applyBorder="1" applyAlignment="1">
      <alignment vertical="top"/>
    </xf>
    <xf numFmtId="0" fontId="42" fillId="0" borderId="36" xfId="0" applyFont="1" applyBorder="1" applyAlignment="1">
      <alignment vertical="top" wrapText="1"/>
    </xf>
    <xf numFmtId="0" fontId="42" fillId="0" borderId="38" xfId="0" applyFont="1" applyBorder="1" applyAlignment="1">
      <alignment vertical="top" wrapText="1"/>
    </xf>
    <xf numFmtId="0" fontId="42" fillId="0" borderId="37" xfId="0" applyFont="1" applyBorder="1" applyAlignment="1">
      <alignment vertical="top" wrapText="1"/>
    </xf>
    <xf numFmtId="0" fontId="42" fillId="0" borderId="37" xfId="0" applyFont="1" applyBorder="1" applyAlignment="1">
      <alignment vertical="top"/>
    </xf>
    <xf numFmtId="0" fontId="42" fillId="0" borderId="38" xfId="0" applyFont="1" applyBorder="1" applyAlignment="1">
      <alignment vertical="top"/>
    </xf>
    <xf numFmtId="0" fontId="42" fillId="0" borderId="36" xfId="0" applyFont="1" applyBorder="1" applyAlignment="1">
      <alignment vertical="top"/>
    </xf>
    <xf numFmtId="0" fontId="42" fillId="0" borderId="27" xfId="0" applyFont="1" applyBorder="1" applyAlignment="1">
      <alignment horizontal="left" vertical="top"/>
    </xf>
    <xf numFmtId="0" fontId="27" fillId="0" borderId="0" xfId="3" applyFont="1" applyAlignment="1">
      <alignment vertical="center" wrapText="1"/>
    </xf>
    <xf numFmtId="0" fontId="13" fillId="0" borderId="0" xfId="0" applyFont="1" applyAlignment="1">
      <alignment horizontal="center" vertical="center"/>
    </xf>
    <xf numFmtId="0" fontId="53" fillId="0" borderId="0" xfId="0" applyFont="1" applyAlignment="1">
      <alignment horizontal="center" vertical="center"/>
    </xf>
    <xf numFmtId="0" fontId="54" fillId="0" borderId="0" xfId="0" applyFont="1" applyAlignment="1">
      <alignment vertical="center"/>
    </xf>
    <xf numFmtId="0" fontId="27" fillId="0" borderId="0" xfId="0" applyFont="1"/>
    <xf numFmtId="0" fontId="27" fillId="9" borderId="21" xfId="0" applyFont="1" applyFill="1" applyBorder="1" applyAlignment="1">
      <alignment horizontal="left" vertical="center" wrapText="1"/>
    </xf>
    <xf numFmtId="0" fontId="27" fillId="9" borderId="22" xfId="0" applyFont="1" applyFill="1" applyBorder="1" applyAlignment="1">
      <alignment horizontal="left" vertical="center" wrapText="1"/>
    </xf>
    <xf numFmtId="0" fontId="27" fillId="9" borderId="28" xfId="0" applyFont="1" applyFill="1" applyBorder="1" applyAlignment="1">
      <alignment horizontal="left" vertical="center" wrapText="1"/>
    </xf>
    <xf numFmtId="0" fontId="42" fillId="11" borderId="0" xfId="0" applyFont="1" applyFill="1" applyAlignment="1">
      <alignment horizontal="left" vertical="top" wrapText="1"/>
    </xf>
    <xf numFmtId="0" fontId="42" fillId="11" borderId="0" xfId="0" applyFont="1" applyFill="1" applyAlignment="1">
      <alignment horizontal="left" vertical="top" wrapText="1" indent="5"/>
    </xf>
    <xf numFmtId="0" fontId="42" fillId="11" borderId="4" xfId="0" applyFont="1" applyFill="1" applyBorder="1" applyAlignment="1">
      <alignment vertical="top" wrapText="1"/>
    </xf>
    <xf numFmtId="0" fontId="42" fillId="11" borderId="0" xfId="0" applyFont="1" applyFill="1" applyAlignment="1">
      <alignment vertical="top" wrapText="1"/>
    </xf>
    <xf numFmtId="0" fontId="42" fillId="11" borderId="2" xfId="0" applyFont="1" applyFill="1" applyBorder="1" applyAlignment="1">
      <alignment vertical="top" wrapText="1"/>
    </xf>
    <xf numFmtId="0" fontId="42" fillId="13" borderId="39" xfId="0" applyFont="1" applyFill="1" applyBorder="1" applyAlignment="1">
      <alignment horizontal="left" vertical="top" wrapText="1" indent="1"/>
    </xf>
    <xf numFmtId="0" fontId="27" fillId="0" borderId="41" xfId="0" applyFont="1" applyBorder="1"/>
    <xf numFmtId="0" fontId="41" fillId="14" borderId="0" xfId="3" applyFont="1" applyFill="1">
      <alignment vertical="center"/>
    </xf>
    <xf numFmtId="0" fontId="27" fillId="12" borderId="0" xfId="0" applyFont="1" applyFill="1"/>
    <xf numFmtId="0" fontId="42" fillId="0" borderId="25" xfId="0" applyFont="1" applyBorder="1" applyAlignment="1">
      <alignment vertical="top" wrapText="1"/>
    </xf>
    <xf numFmtId="0" fontId="27" fillId="10" borderId="21" xfId="0" applyFont="1" applyFill="1" applyBorder="1" applyAlignment="1">
      <alignment vertical="top" wrapText="1"/>
    </xf>
    <xf numFmtId="0" fontId="42" fillId="9" borderId="21" xfId="0" applyFont="1" applyFill="1" applyBorder="1" applyAlignment="1">
      <alignment vertical="top" wrapText="1"/>
    </xf>
    <xf numFmtId="0" fontId="42" fillId="0" borderId="23" xfId="0" applyFont="1" applyBorder="1" applyAlignment="1">
      <alignment vertical="top" wrapText="1"/>
    </xf>
    <xf numFmtId="0" fontId="42" fillId="0" borderId="21" xfId="0" applyFont="1" applyBorder="1" applyAlignment="1">
      <alignment vertical="top" wrapText="1"/>
    </xf>
    <xf numFmtId="0" fontId="42" fillId="0" borderId="25" xfId="0" applyFont="1" applyBorder="1" applyAlignment="1">
      <alignment vertical="top"/>
    </xf>
    <xf numFmtId="0" fontId="42" fillId="0" borderId="28" xfId="0" applyFont="1" applyBorder="1" applyAlignment="1">
      <alignment vertical="top"/>
    </xf>
    <xf numFmtId="2" fontId="27" fillId="12" borderId="0" xfId="0" applyNumberFormat="1" applyFont="1" applyFill="1"/>
    <xf numFmtId="2" fontId="27" fillId="0" borderId="0" xfId="0" applyNumberFormat="1" applyFont="1"/>
    <xf numFmtId="0" fontId="32" fillId="6" borderId="0" xfId="0" applyFont="1" applyFill="1" applyAlignment="1">
      <alignment vertical="center"/>
    </xf>
    <xf numFmtId="0" fontId="20" fillId="3" borderId="0" xfId="0" applyFont="1" applyFill="1" applyAlignment="1">
      <alignment vertical="center"/>
    </xf>
    <xf numFmtId="0" fontId="52" fillId="15" borderId="0" xfId="0" applyFont="1" applyFill="1" applyAlignment="1">
      <alignment vertical="center"/>
    </xf>
    <xf numFmtId="0" fontId="55" fillId="0" borderId="0" xfId="0" applyFont="1" applyAlignment="1">
      <alignment vertical="center"/>
    </xf>
    <xf numFmtId="0" fontId="30" fillId="0" borderId="0" xfId="0" applyFont="1" applyAlignment="1">
      <alignment vertical="center"/>
    </xf>
    <xf numFmtId="0" fontId="14" fillId="0" borderId="0" xfId="0" applyFont="1" applyAlignment="1">
      <alignment horizontal="center" vertical="center"/>
    </xf>
    <xf numFmtId="0" fontId="29" fillId="0" borderId="0" xfId="0" applyFont="1" applyAlignment="1">
      <alignment vertical="center"/>
    </xf>
    <xf numFmtId="0" fontId="28" fillId="0" borderId="0" xfId="0" applyFont="1" applyAlignment="1">
      <alignment horizontal="center" vertical="center"/>
    </xf>
    <xf numFmtId="0" fontId="52" fillId="0" borderId="0" xfId="0" applyFont="1" applyAlignment="1">
      <alignment vertical="center"/>
    </xf>
    <xf numFmtId="0" fontId="31" fillId="0" borderId="0" xfId="7" applyFont="1" applyAlignment="1">
      <alignment vertical="center"/>
    </xf>
    <xf numFmtId="0" fontId="31" fillId="0" borderId="0" xfId="7" applyFont="1" applyAlignment="1">
      <alignment horizontal="center" vertical="center"/>
    </xf>
    <xf numFmtId="0" fontId="59" fillId="0" borderId="0" xfId="7" applyFont="1" applyAlignment="1">
      <alignment vertical="center"/>
    </xf>
    <xf numFmtId="14" fontId="60" fillId="0" borderId="0" xfId="7" applyNumberFormat="1" applyFont="1" applyAlignment="1">
      <alignment vertical="center"/>
    </xf>
    <xf numFmtId="0" fontId="31" fillId="16" borderId="20" xfId="7" applyFont="1" applyFill="1" applyBorder="1" applyAlignment="1">
      <alignment horizontal="center" vertical="center" wrapText="1"/>
    </xf>
    <xf numFmtId="0" fontId="31" fillId="16" borderId="18" xfId="7" applyFont="1" applyFill="1" applyBorder="1" applyAlignment="1">
      <alignment horizontal="center" vertical="center" wrapText="1"/>
    </xf>
    <xf numFmtId="0" fontId="31" fillId="0" borderId="6" xfId="7" applyFont="1" applyBorder="1" applyAlignment="1">
      <alignment horizontal="center" vertical="center"/>
    </xf>
    <xf numFmtId="0" fontId="31" fillId="0" borderId="6" xfId="7" applyFont="1" applyBorder="1" applyAlignment="1">
      <alignment vertical="center"/>
    </xf>
    <xf numFmtId="0" fontId="59" fillId="0" borderId="0" xfId="7" applyFont="1"/>
    <xf numFmtId="0" fontId="31" fillId="0" borderId="20" xfId="7" applyFont="1" applyBorder="1" applyAlignment="1">
      <alignment horizontal="center" vertical="center" wrapText="1"/>
    </xf>
    <xf numFmtId="0" fontId="31" fillId="0" borderId="6" xfId="7" applyFont="1" applyBorder="1" applyAlignment="1">
      <alignment horizontal="left" vertical="center" wrapText="1"/>
    </xf>
    <xf numFmtId="0" fontId="31" fillId="0" borderId="6" xfId="7" applyFont="1" applyBorder="1" applyAlignment="1">
      <alignment horizontal="left" vertical="center"/>
    </xf>
    <xf numFmtId="0" fontId="31" fillId="0" borderId="6" xfId="7" applyFont="1" applyBorder="1" applyAlignment="1">
      <alignment horizontal="center" vertical="center" wrapText="1"/>
    </xf>
    <xf numFmtId="0" fontId="61" fillId="0" borderId="0" xfId="7" applyFont="1"/>
    <xf numFmtId="0" fontId="52" fillId="0" borderId="0" xfId="0" applyFont="1" applyAlignment="1">
      <alignment horizontal="center" vertical="center" wrapText="1"/>
    </xf>
    <xf numFmtId="0" fontId="20" fillId="3" borderId="4" xfId="0" applyFont="1" applyFill="1" applyBorder="1" applyAlignment="1">
      <alignment horizontal="center" vertical="center" wrapText="1"/>
    </xf>
    <xf numFmtId="0" fontId="20" fillId="3" borderId="47" xfId="0" applyFont="1" applyFill="1" applyBorder="1" applyAlignment="1">
      <alignment horizontal="center" vertical="center"/>
    </xf>
    <xf numFmtId="0" fontId="20" fillId="3" borderId="12" xfId="0" applyFont="1" applyFill="1" applyBorder="1" applyAlignment="1">
      <alignment horizontal="center" vertical="center"/>
    </xf>
    <xf numFmtId="0" fontId="13" fillId="0" borderId="18" xfId="0" applyFont="1" applyBorder="1" applyAlignment="1">
      <alignment vertical="center"/>
    </xf>
    <xf numFmtId="0" fontId="20" fillId="3" borderId="13" xfId="0" applyFont="1" applyFill="1" applyBorder="1" applyAlignment="1">
      <alignment vertical="center"/>
    </xf>
    <xf numFmtId="0" fontId="20" fillId="3" borderId="48" xfId="0" applyFont="1" applyFill="1" applyBorder="1" applyAlignment="1">
      <alignment vertical="center"/>
    </xf>
    <xf numFmtId="0" fontId="39" fillId="3" borderId="49" xfId="0" applyFont="1" applyFill="1" applyBorder="1" applyAlignment="1">
      <alignment horizontal="center" vertical="center"/>
    </xf>
    <xf numFmtId="0" fontId="39" fillId="3" borderId="48" xfId="0" applyFont="1" applyFill="1" applyBorder="1" applyAlignment="1">
      <alignment horizontal="center" vertical="center"/>
    </xf>
    <xf numFmtId="0" fontId="20" fillId="3" borderId="47" xfId="0" applyFont="1" applyFill="1" applyBorder="1" applyAlignment="1">
      <alignment vertical="center"/>
    </xf>
    <xf numFmtId="0" fontId="20" fillId="3" borderId="19" xfId="0" applyFont="1" applyFill="1" applyBorder="1" applyAlignment="1">
      <alignment vertical="center"/>
    </xf>
    <xf numFmtId="0" fontId="20" fillId="3" borderId="51" xfId="0" applyFont="1" applyFill="1" applyBorder="1" applyAlignment="1">
      <alignment horizontal="center" vertical="center"/>
    </xf>
    <xf numFmtId="0" fontId="20" fillId="3" borderId="12" xfId="0" applyFont="1" applyFill="1" applyBorder="1" applyAlignment="1">
      <alignment vertical="center"/>
    </xf>
    <xf numFmtId="0" fontId="63" fillId="0" borderId="0" xfId="0" applyFont="1" applyAlignment="1">
      <alignment vertical="center"/>
    </xf>
    <xf numFmtId="0" fontId="13" fillId="0" borderId="0" xfId="0" applyFont="1"/>
    <xf numFmtId="0" fontId="13" fillId="16" borderId="6" xfId="0" applyFont="1" applyFill="1" applyBorder="1" applyAlignment="1">
      <alignment vertical="center"/>
    </xf>
    <xf numFmtId="0" fontId="13" fillId="8" borderId="6" xfId="0" applyFont="1" applyFill="1" applyBorder="1" applyAlignment="1">
      <alignment vertical="center"/>
    </xf>
    <xf numFmtId="0" fontId="13" fillId="8" borderId="6" xfId="0" applyFont="1" applyFill="1" applyBorder="1" applyAlignment="1">
      <alignment horizontal="center" vertical="center"/>
    </xf>
    <xf numFmtId="177" fontId="13" fillId="0" borderId="6" xfId="0" applyNumberFormat="1" applyFont="1" applyBorder="1" applyAlignment="1">
      <alignment vertical="center"/>
    </xf>
    <xf numFmtId="177" fontId="13" fillId="0" borderId="6" xfId="0" applyNumberFormat="1" applyFont="1" applyBorder="1" applyAlignment="1">
      <alignment horizontal="center" vertical="center"/>
    </xf>
    <xf numFmtId="0" fontId="66" fillId="0" borderId="0" xfId="0" applyFont="1" applyAlignment="1">
      <alignment vertical="center"/>
    </xf>
    <xf numFmtId="0" fontId="65" fillId="0" borderId="0" xfId="0" applyFont="1" applyAlignment="1">
      <alignment vertical="center"/>
    </xf>
    <xf numFmtId="0" fontId="14" fillId="5" borderId="9" xfId="0" applyFont="1" applyFill="1" applyBorder="1" applyAlignment="1">
      <alignment horizontal="center" vertical="center"/>
    </xf>
    <xf numFmtId="0" fontId="16" fillId="4" borderId="5" xfId="0" applyFont="1" applyFill="1" applyBorder="1" applyAlignment="1">
      <alignment horizontal="center" vertical="center"/>
    </xf>
    <xf numFmtId="0" fontId="13" fillId="0" borderId="0" xfId="0" applyFont="1" applyAlignment="1">
      <alignment vertical="top"/>
    </xf>
    <xf numFmtId="0" fontId="13" fillId="0" borderId="6" xfId="0" applyFont="1" applyBorder="1" applyAlignment="1">
      <alignment horizontal="right" vertical="center"/>
    </xf>
    <xf numFmtId="0" fontId="69" fillId="0" borderId="6" xfId="0" applyFont="1" applyBorder="1" applyAlignment="1">
      <alignment horizontal="center" vertical="center"/>
    </xf>
    <xf numFmtId="0" fontId="43" fillId="0" borderId="0" xfId="0" applyFont="1" applyAlignment="1">
      <alignment horizontal="center" vertical="center"/>
    </xf>
    <xf numFmtId="0" fontId="13" fillId="8" borderId="20" xfId="0" applyFont="1" applyFill="1" applyBorder="1" applyAlignment="1">
      <alignment horizontal="center" vertical="center"/>
    </xf>
    <xf numFmtId="0" fontId="13" fillId="0" borderId="20" xfId="0" applyFont="1" applyBorder="1" applyAlignment="1">
      <alignment vertical="center"/>
    </xf>
    <xf numFmtId="177" fontId="13" fillId="0" borderId="20" xfId="0" applyNumberFormat="1" applyFont="1" applyBorder="1" applyAlignment="1">
      <alignment vertical="center"/>
    </xf>
    <xf numFmtId="0" fontId="13" fillId="8" borderId="18" xfId="0" applyFont="1" applyFill="1" applyBorder="1" applyAlignment="1">
      <alignment horizontal="center" vertical="center"/>
    </xf>
    <xf numFmtId="0" fontId="13" fillId="8" borderId="52" xfId="0" applyFont="1" applyFill="1" applyBorder="1" applyAlignment="1">
      <alignment horizontal="center" vertical="center"/>
    </xf>
    <xf numFmtId="0" fontId="13" fillId="0" borderId="53" xfId="0" applyFont="1" applyBorder="1" applyAlignment="1">
      <alignment vertical="center"/>
    </xf>
    <xf numFmtId="177" fontId="13" fillId="0" borderId="53" xfId="0" applyNumberFormat="1" applyFont="1" applyBorder="1" applyAlignment="1">
      <alignment vertical="center"/>
    </xf>
    <xf numFmtId="0" fontId="13" fillId="0" borderId="55" xfId="0" applyFont="1" applyBorder="1" applyAlignment="1">
      <alignment vertical="center"/>
    </xf>
    <xf numFmtId="0" fontId="13" fillId="8" borderId="56" xfId="0" applyFont="1" applyFill="1" applyBorder="1" applyAlignment="1">
      <alignment horizontal="center" vertical="center"/>
    </xf>
    <xf numFmtId="0" fontId="13" fillId="0" borderId="57" xfId="0" applyFont="1" applyBorder="1" applyAlignment="1">
      <alignment vertical="center"/>
    </xf>
    <xf numFmtId="0" fontId="13" fillId="8" borderId="58" xfId="0" applyFont="1" applyFill="1" applyBorder="1" applyAlignment="1">
      <alignment horizontal="center" vertical="center"/>
    </xf>
    <xf numFmtId="0" fontId="13" fillId="0" borderId="59" xfId="0" applyFont="1" applyBorder="1" applyAlignment="1">
      <alignment vertical="center"/>
    </xf>
    <xf numFmtId="177" fontId="13" fillId="0" borderId="59" xfId="0" applyNumberFormat="1" applyFont="1" applyBorder="1" applyAlignment="1">
      <alignment vertical="center"/>
    </xf>
    <xf numFmtId="0" fontId="13" fillId="0" borderId="61" xfId="0" applyFont="1" applyBorder="1" applyAlignment="1">
      <alignment vertical="center"/>
    </xf>
    <xf numFmtId="177" fontId="43" fillId="0" borderId="0" xfId="0" applyNumberFormat="1" applyFont="1" applyAlignment="1">
      <alignment horizontal="center" vertical="center"/>
    </xf>
    <xf numFmtId="0" fontId="70" fillId="0" borderId="11" xfId="0" applyFont="1" applyBorder="1" applyAlignment="1">
      <alignment vertical="center"/>
    </xf>
    <xf numFmtId="1" fontId="43" fillId="0" borderId="0" xfId="0" applyNumberFormat="1" applyFont="1" applyAlignment="1">
      <alignment horizontal="center" vertical="center"/>
    </xf>
    <xf numFmtId="1" fontId="13" fillId="0" borderId="0" xfId="0" applyNumberFormat="1" applyFont="1" applyAlignment="1">
      <alignment vertical="center"/>
    </xf>
    <xf numFmtId="0" fontId="13" fillId="2" borderId="6" xfId="0" applyFont="1" applyFill="1" applyBorder="1" applyAlignment="1" applyProtection="1">
      <alignment horizontal="center" vertical="center"/>
      <protection locked="0"/>
    </xf>
    <xf numFmtId="0" fontId="13" fillId="2" borderId="6" xfId="0" applyFont="1" applyFill="1" applyBorder="1" applyAlignment="1" applyProtection="1">
      <alignment horizontal="center" vertical="center" wrapText="1"/>
      <protection locked="0"/>
    </xf>
    <xf numFmtId="0" fontId="13" fillId="2" borderId="6" xfId="0" applyFont="1" applyFill="1" applyBorder="1" applyAlignment="1" applyProtection="1">
      <alignment vertical="center"/>
      <protection locked="0"/>
    </xf>
    <xf numFmtId="0" fontId="13" fillId="2" borderId="18" xfId="0" applyFont="1" applyFill="1" applyBorder="1" applyAlignment="1" applyProtection="1">
      <alignment vertical="center"/>
      <protection locked="0"/>
    </xf>
    <xf numFmtId="0" fontId="13" fillId="2" borderId="18" xfId="0" applyFont="1" applyFill="1" applyBorder="1" applyAlignment="1" applyProtection="1">
      <alignment vertical="center" wrapText="1"/>
      <protection locked="0"/>
    </xf>
    <xf numFmtId="0" fontId="13" fillId="2" borderId="9" xfId="0" applyFont="1" applyFill="1" applyBorder="1" applyAlignment="1" applyProtection="1">
      <alignment horizontal="center" vertical="center" wrapText="1"/>
      <protection locked="0"/>
    </xf>
    <xf numFmtId="0" fontId="13" fillId="2" borderId="10" xfId="0" applyFont="1" applyFill="1" applyBorder="1" applyAlignment="1" applyProtection="1">
      <alignment vertical="center" wrapText="1"/>
      <protection locked="0"/>
    </xf>
    <xf numFmtId="0" fontId="43" fillId="0" borderId="62" xfId="0" applyFont="1" applyBorder="1" applyAlignment="1" applyProtection="1">
      <alignment vertical="center"/>
      <protection locked="0"/>
    </xf>
    <xf numFmtId="0" fontId="43" fillId="0" borderId="63" xfId="0" applyFont="1" applyBorder="1" applyAlignment="1" applyProtection="1">
      <alignment vertical="center"/>
      <protection locked="0"/>
    </xf>
    <xf numFmtId="0" fontId="43" fillId="0" borderId="64" xfId="0" applyFont="1" applyBorder="1" applyAlignment="1" applyProtection="1">
      <alignment vertical="center"/>
      <protection locked="0"/>
    </xf>
    <xf numFmtId="0" fontId="76" fillId="0" borderId="0" xfId="0" applyFont="1" applyAlignment="1">
      <alignment horizontal="center" vertical="center"/>
    </xf>
    <xf numFmtId="0" fontId="78" fillId="0" borderId="0" xfId="0" applyFont="1" applyAlignment="1">
      <alignment horizontal="center" vertical="center"/>
    </xf>
    <xf numFmtId="0" fontId="77" fillId="0" borderId="0" xfId="0" applyFont="1" applyAlignment="1">
      <alignment horizontal="center" vertical="center" wrapText="1"/>
    </xf>
    <xf numFmtId="0" fontId="79" fillId="0" borderId="0" xfId="0" applyFont="1" applyAlignment="1">
      <alignment horizontal="center" vertical="center" wrapText="1"/>
    </xf>
    <xf numFmtId="0" fontId="16" fillId="0" borderId="16" xfId="0" applyFont="1" applyBorder="1" applyAlignment="1">
      <alignment vertical="center"/>
    </xf>
    <xf numFmtId="0" fontId="14" fillId="0" borderId="0" xfId="0" applyFont="1" applyAlignment="1">
      <alignment vertical="center"/>
    </xf>
    <xf numFmtId="0" fontId="16" fillId="0" borderId="63" xfId="0" applyFont="1" applyBorder="1" applyAlignment="1">
      <alignment vertical="center"/>
    </xf>
    <xf numFmtId="0" fontId="25" fillId="0" borderId="0" xfId="0" applyFont="1" applyAlignment="1">
      <alignment vertical="center"/>
    </xf>
    <xf numFmtId="0" fontId="80" fillId="0" borderId="11" xfId="0" applyFont="1" applyBorder="1" applyAlignment="1">
      <alignment vertical="center"/>
    </xf>
    <xf numFmtId="0" fontId="16" fillId="7" borderId="14" xfId="0" applyFont="1" applyFill="1" applyBorder="1" applyAlignment="1">
      <alignment horizontal="center" vertical="center" wrapText="1"/>
    </xf>
    <xf numFmtId="0" fontId="16" fillId="7" borderId="8" xfId="0" applyFont="1" applyFill="1" applyBorder="1" applyAlignment="1">
      <alignment vertical="center" wrapText="1"/>
    </xf>
    <xf numFmtId="0" fontId="16" fillId="7" borderId="14" xfId="0" applyFont="1" applyFill="1" applyBorder="1" applyAlignment="1">
      <alignment vertical="center" wrapText="1"/>
    </xf>
    <xf numFmtId="0" fontId="16" fillId="7" borderId="9" xfId="0" applyFont="1" applyFill="1" applyBorder="1" applyAlignment="1">
      <alignment vertical="center" wrapText="1"/>
    </xf>
    <xf numFmtId="0" fontId="15" fillId="7" borderId="0" xfId="0" applyFont="1" applyFill="1" applyAlignment="1">
      <alignment horizontal="center" vertical="top"/>
    </xf>
    <xf numFmtId="0" fontId="15" fillId="7" borderId="14" xfId="0" applyFont="1" applyFill="1" applyBorder="1" applyAlignment="1">
      <alignment horizontal="center" vertical="top"/>
    </xf>
    <xf numFmtId="0" fontId="13" fillId="0" borderId="63" xfId="0" applyFont="1" applyBorder="1" applyAlignment="1">
      <alignment vertical="center"/>
    </xf>
    <xf numFmtId="0" fontId="43" fillId="4" borderId="62" xfId="0" applyFont="1" applyFill="1" applyBorder="1" applyAlignment="1" applyProtection="1">
      <alignment vertical="center"/>
      <protection locked="0"/>
    </xf>
    <xf numFmtId="0" fontId="43" fillId="4" borderId="63" xfId="0" applyFont="1" applyFill="1" applyBorder="1" applyAlignment="1" applyProtection="1">
      <alignment vertical="center"/>
      <protection locked="0"/>
    </xf>
    <xf numFmtId="0" fontId="43" fillId="4" borderId="64" xfId="0" applyFont="1" applyFill="1" applyBorder="1" applyAlignment="1" applyProtection="1">
      <alignment vertical="center"/>
      <protection locked="0"/>
    </xf>
    <xf numFmtId="0" fontId="44" fillId="0" borderId="62" xfId="0" applyFont="1" applyBorder="1" applyAlignment="1">
      <alignment vertical="center"/>
    </xf>
    <xf numFmtId="0" fontId="44" fillId="0" borderId="63" xfId="0" applyFont="1" applyBorder="1" applyAlignment="1">
      <alignment vertical="center"/>
    </xf>
    <xf numFmtId="0" fontId="44" fillId="0" borderId="64" xfId="0" applyFont="1" applyBorder="1" applyAlignment="1">
      <alignment vertical="center"/>
    </xf>
    <xf numFmtId="0" fontId="43" fillId="0" borderId="0" xfId="0" applyFont="1" applyAlignment="1">
      <alignment horizontal="center" vertical="top"/>
    </xf>
    <xf numFmtId="0" fontId="16" fillId="0" borderId="0" xfId="0" applyFont="1" applyAlignment="1">
      <alignment vertical="top"/>
    </xf>
    <xf numFmtId="0" fontId="16" fillId="2" borderId="0" xfId="0" applyFont="1" applyFill="1" applyAlignment="1" applyProtection="1">
      <alignment vertical="center"/>
      <protection locked="0"/>
    </xf>
    <xf numFmtId="0" fontId="20" fillId="3" borderId="0" xfId="0" applyFont="1" applyFill="1" applyAlignment="1">
      <alignment horizontal="center" vertical="center"/>
    </xf>
    <xf numFmtId="0" fontId="39" fillId="3" borderId="50" xfId="0" applyFont="1" applyFill="1" applyBorder="1" applyAlignment="1">
      <alignment horizontal="center" vertical="center"/>
    </xf>
    <xf numFmtId="0" fontId="25" fillId="0" borderId="16" xfId="0" applyFont="1" applyBorder="1" applyAlignment="1">
      <alignment horizontal="right" vertical="center"/>
    </xf>
    <xf numFmtId="0" fontId="25" fillId="0" borderId="17" xfId="0" applyFont="1" applyBorder="1" applyAlignment="1">
      <alignment horizontal="right" vertical="center"/>
    </xf>
    <xf numFmtId="0" fontId="56" fillId="0" borderId="0" xfId="9" applyFont="1" applyAlignment="1">
      <alignment vertical="center" shrinkToFit="1"/>
    </xf>
    <xf numFmtId="0" fontId="71" fillId="0" borderId="0" xfId="9" applyFont="1">
      <alignment vertical="center"/>
    </xf>
    <xf numFmtId="0" fontId="72" fillId="0" borderId="0" xfId="9" applyFont="1">
      <alignment vertical="center"/>
    </xf>
    <xf numFmtId="0" fontId="52" fillId="0" borderId="0" xfId="9" applyFont="1">
      <alignment vertical="center"/>
    </xf>
    <xf numFmtId="0" fontId="13" fillId="0" borderId="0" xfId="9" applyFont="1">
      <alignment vertical="center"/>
    </xf>
    <xf numFmtId="0" fontId="73" fillId="0" borderId="0" xfId="9" applyFont="1">
      <alignment vertical="center"/>
    </xf>
    <xf numFmtId="0" fontId="72" fillId="0" borderId="0" xfId="9" applyFont="1" applyAlignment="1">
      <alignment horizontal="left" vertical="top" indent="3"/>
    </xf>
    <xf numFmtId="0" fontId="19" fillId="0" borderId="0" xfId="9" applyFont="1">
      <alignment vertical="center"/>
    </xf>
    <xf numFmtId="0" fontId="74" fillId="0" borderId="0" xfId="9" applyFont="1">
      <alignment vertical="center"/>
    </xf>
    <xf numFmtId="0" fontId="17" fillId="0" borderId="0" xfId="9" applyFont="1">
      <alignment vertical="center"/>
    </xf>
    <xf numFmtId="0" fontId="57" fillId="17" borderId="100" xfId="9" applyFont="1" applyFill="1" applyBorder="1" applyAlignment="1">
      <alignment horizontal="center" vertical="center"/>
    </xf>
    <xf numFmtId="0" fontId="57" fillId="17" borderId="71" xfId="9" applyFont="1" applyFill="1" applyBorder="1" applyAlignment="1">
      <alignment horizontal="center" vertical="center"/>
    </xf>
    <xf numFmtId="0" fontId="57" fillId="17" borderId="72" xfId="9" applyFont="1" applyFill="1" applyBorder="1" applyAlignment="1">
      <alignment horizontal="center" vertical="center"/>
    </xf>
    <xf numFmtId="0" fontId="56" fillId="0" borderId="0" xfId="9" applyFont="1">
      <alignment vertical="center"/>
    </xf>
    <xf numFmtId="0" fontId="57" fillId="17" borderId="59" xfId="9" applyFont="1" applyFill="1" applyBorder="1" applyAlignment="1">
      <alignment horizontal="center" vertical="center"/>
    </xf>
    <xf numFmtId="0" fontId="57" fillId="17" borderId="82" xfId="9" applyFont="1" applyFill="1" applyBorder="1" applyAlignment="1">
      <alignment horizontal="center" vertical="center"/>
    </xf>
    <xf numFmtId="0" fontId="13" fillId="0" borderId="18" xfId="9" applyFont="1" applyBorder="1" applyAlignment="1">
      <alignment horizontal="center" vertical="center"/>
    </xf>
    <xf numFmtId="0" fontId="13" fillId="0" borderId="12" xfId="9" applyFont="1" applyBorder="1">
      <alignment vertical="center"/>
    </xf>
    <xf numFmtId="0" fontId="57" fillId="17" borderId="53" xfId="9" applyFont="1" applyFill="1" applyBorder="1" applyAlignment="1">
      <alignment horizontal="center" vertical="center" wrapText="1"/>
    </xf>
    <xf numFmtId="0" fontId="13" fillId="0" borderId="6" xfId="9" applyFont="1" applyBorder="1" applyAlignment="1">
      <alignment horizontal="center" vertical="center"/>
    </xf>
    <xf numFmtId="0" fontId="13" fillId="0" borderId="107" xfId="9" applyFont="1" applyBorder="1" applyAlignment="1">
      <alignment horizontal="center" vertical="center"/>
    </xf>
    <xf numFmtId="0" fontId="13" fillId="0" borderId="108" xfId="9" applyFont="1" applyBorder="1" applyAlignment="1">
      <alignment horizontal="center" vertical="center"/>
    </xf>
    <xf numFmtId="0" fontId="13" fillId="0" borderId="0" xfId="0" applyFont="1" applyAlignment="1">
      <alignment horizontal="right" vertical="center"/>
    </xf>
    <xf numFmtId="0" fontId="13" fillId="0" borderId="0" xfId="0" applyFont="1" applyAlignment="1">
      <alignment vertical="center" wrapText="1"/>
    </xf>
    <xf numFmtId="0" fontId="31" fillId="0" borderId="0" xfId="0" applyFont="1" applyAlignment="1">
      <alignment horizontal="right" vertical="center"/>
    </xf>
    <xf numFmtId="0" fontId="52" fillId="0" borderId="6" xfId="0" applyFont="1" applyBorder="1" applyAlignment="1">
      <alignment vertical="center" wrapText="1"/>
    </xf>
    <xf numFmtId="0" fontId="52" fillId="17" borderId="76" xfId="0" applyFont="1" applyFill="1" applyBorder="1" applyAlignment="1">
      <alignment vertical="center" wrapText="1"/>
    </xf>
    <xf numFmtId="0" fontId="43" fillId="4" borderId="0" xfId="0" applyFont="1" applyFill="1" applyAlignment="1" applyProtection="1">
      <alignment vertical="center"/>
      <protection locked="0"/>
    </xf>
    <xf numFmtId="0" fontId="14" fillId="5" borderId="5" xfId="0" applyFont="1" applyFill="1" applyBorder="1" applyAlignment="1">
      <alignment horizontal="center" vertical="center"/>
    </xf>
    <xf numFmtId="0" fontId="57" fillId="17" borderId="67" xfId="9" applyFont="1" applyFill="1" applyBorder="1" applyAlignment="1">
      <alignment horizontal="center" vertical="center"/>
    </xf>
    <xf numFmtId="0" fontId="27" fillId="0" borderId="0" xfId="0" applyFont="1" applyAlignment="1">
      <alignment horizontal="center" vertical="center"/>
    </xf>
    <xf numFmtId="0" fontId="27" fillId="0" borderId="0" xfId="0" applyFont="1" applyAlignment="1">
      <alignment vertical="center"/>
    </xf>
    <xf numFmtId="0" fontId="15" fillId="0" borderId="0" xfId="0" applyFont="1" applyAlignment="1">
      <alignment horizontal="right" vertical="center"/>
    </xf>
    <xf numFmtId="0" fontId="52" fillId="0" borderId="69" xfId="9" applyFont="1" applyBorder="1">
      <alignment vertical="center"/>
    </xf>
    <xf numFmtId="0" fontId="27" fillId="0" borderId="13" xfId="0" applyFont="1" applyBorder="1" applyAlignment="1">
      <alignment vertical="center"/>
    </xf>
    <xf numFmtId="0" fontId="27" fillId="0" borderId="12" xfId="0" applyFont="1" applyBorder="1" applyAlignment="1">
      <alignment vertical="center"/>
    </xf>
    <xf numFmtId="0" fontId="27" fillId="0" borderId="110" xfId="0" applyFont="1" applyBorder="1" applyAlignment="1">
      <alignment vertical="center"/>
    </xf>
    <xf numFmtId="0" fontId="27" fillId="0" borderId="16" xfId="0" applyFont="1" applyBorder="1" applyAlignment="1">
      <alignment vertical="center"/>
    </xf>
    <xf numFmtId="0" fontId="27" fillId="0" borderId="20" xfId="0" applyFont="1" applyBorder="1" applyAlignment="1">
      <alignment vertical="center"/>
    </xf>
    <xf numFmtId="0" fontId="27" fillId="0" borderId="15" xfId="0" applyFont="1" applyBorder="1" applyAlignment="1">
      <alignment vertical="center"/>
    </xf>
    <xf numFmtId="0" fontId="27" fillId="0" borderId="18" xfId="0" applyFont="1" applyBorder="1" applyAlignment="1">
      <alignment vertical="center"/>
    </xf>
    <xf numFmtId="0" fontId="27" fillId="0" borderId="17" xfId="0" applyFont="1" applyBorder="1" applyAlignment="1">
      <alignment vertical="center"/>
    </xf>
    <xf numFmtId="177" fontId="27" fillId="0" borderId="110" xfId="0" applyNumberFormat="1" applyFont="1" applyBorder="1" applyAlignment="1">
      <alignment vertical="center"/>
    </xf>
    <xf numFmtId="0" fontId="27" fillId="8" borderId="20" xfId="0" applyFont="1" applyFill="1" applyBorder="1" applyAlignment="1">
      <alignment vertical="center"/>
    </xf>
    <xf numFmtId="0" fontId="27" fillId="8" borderId="110" xfId="0" applyFont="1" applyFill="1" applyBorder="1" applyAlignment="1">
      <alignment vertical="center"/>
    </xf>
    <xf numFmtId="0" fontId="27" fillId="8" borderId="18" xfId="0" applyFont="1" applyFill="1" applyBorder="1" applyAlignment="1">
      <alignment vertical="center"/>
    </xf>
    <xf numFmtId="0" fontId="13" fillId="0" borderId="112" xfId="0" applyFont="1" applyBorder="1" applyAlignment="1">
      <alignment vertical="center"/>
    </xf>
    <xf numFmtId="0" fontId="43" fillId="0" borderId="113" xfId="0" applyFont="1" applyBorder="1" applyAlignment="1" applyProtection="1">
      <alignment vertical="center"/>
      <protection locked="0"/>
    </xf>
    <xf numFmtId="0" fontId="44" fillId="0" borderId="111" xfId="0" applyFont="1" applyBorder="1" applyAlignment="1">
      <alignment vertical="center"/>
    </xf>
    <xf numFmtId="0" fontId="27" fillId="0" borderId="110" xfId="0" quotePrefix="1" applyFont="1" applyBorder="1" applyAlignment="1">
      <alignment vertical="center"/>
    </xf>
    <xf numFmtId="2" fontId="43" fillId="0" borderId="0" xfId="0" applyNumberFormat="1" applyFont="1" applyAlignment="1">
      <alignment horizontal="center" vertical="center"/>
    </xf>
    <xf numFmtId="0" fontId="27" fillId="0" borderId="110" xfId="0" applyFont="1" applyBorder="1" applyAlignment="1">
      <alignment horizontal="center" vertical="center"/>
    </xf>
    <xf numFmtId="0" fontId="27" fillId="0" borderId="16" xfId="0" applyFont="1" applyBorder="1" applyAlignment="1">
      <alignment horizontal="center" vertical="center"/>
    </xf>
    <xf numFmtId="0" fontId="27" fillId="2" borderId="20" xfId="0" applyFont="1" applyFill="1" applyBorder="1" applyAlignment="1">
      <alignment vertical="center"/>
    </xf>
    <xf numFmtId="0" fontId="27" fillId="2" borderId="110" xfId="0" applyFont="1" applyFill="1" applyBorder="1" applyAlignment="1">
      <alignment vertical="center"/>
    </xf>
    <xf numFmtId="0" fontId="27" fillId="2" borderId="18" xfId="0" applyFont="1" applyFill="1" applyBorder="1" applyAlignment="1">
      <alignment vertical="center"/>
    </xf>
    <xf numFmtId="0" fontId="27" fillId="2" borderId="15" xfId="0" applyFont="1" applyFill="1" applyBorder="1" applyAlignment="1">
      <alignment vertical="center"/>
    </xf>
    <xf numFmtId="0" fontId="27" fillId="2" borderId="16" xfId="0" applyFont="1" applyFill="1" applyBorder="1" applyAlignment="1">
      <alignment vertical="center"/>
    </xf>
    <xf numFmtId="0" fontId="27" fillId="2" borderId="17" xfId="0" applyFont="1" applyFill="1" applyBorder="1" applyAlignment="1">
      <alignment vertical="center"/>
    </xf>
    <xf numFmtId="0" fontId="13" fillId="0" borderId="0" xfId="9" applyFont="1" applyAlignment="1">
      <alignment horizontal="center" vertical="center"/>
    </xf>
    <xf numFmtId="179" fontId="13" fillId="0" borderId="5" xfId="0" applyNumberFormat="1" applyFont="1" applyBorder="1" applyAlignment="1">
      <alignment vertical="center" wrapText="1"/>
    </xf>
    <xf numFmtId="0" fontId="13" fillId="0" borderId="0" xfId="0" applyFont="1" applyAlignment="1">
      <alignment horizontal="center" vertical="center" wrapText="1"/>
    </xf>
    <xf numFmtId="2" fontId="13" fillId="0" borderId="0" xfId="0" applyNumberFormat="1" applyFont="1" applyAlignment="1">
      <alignment vertical="center" wrapText="1"/>
    </xf>
    <xf numFmtId="180" fontId="13" fillId="0" borderId="46" xfId="0" applyNumberFormat="1" applyFont="1" applyBorder="1" applyAlignment="1">
      <alignment vertical="center"/>
    </xf>
    <xf numFmtId="0" fontId="13" fillId="0" borderId="17" xfId="0" applyFont="1" applyBorder="1" applyAlignment="1">
      <alignment horizontal="center" vertical="center" wrapText="1"/>
    </xf>
    <xf numFmtId="178" fontId="13" fillId="0" borderId="7" xfId="0" applyNumberFormat="1" applyFont="1" applyBorder="1" applyAlignment="1">
      <alignment horizontal="center" vertical="center" wrapText="1"/>
    </xf>
    <xf numFmtId="0" fontId="13" fillId="0" borderId="7" xfId="0" applyFont="1" applyBorder="1" applyAlignment="1">
      <alignment horizontal="center" vertical="center" wrapText="1"/>
    </xf>
    <xf numFmtId="0" fontId="39" fillId="3" borderId="114" xfId="0" applyFont="1" applyFill="1" applyBorder="1" applyAlignment="1">
      <alignment horizontal="center" vertical="center"/>
    </xf>
    <xf numFmtId="0" fontId="20" fillId="3" borderId="115" xfId="0" applyFont="1" applyFill="1" applyBorder="1" applyAlignment="1">
      <alignment horizontal="center" vertical="center"/>
    </xf>
    <xf numFmtId="0" fontId="20" fillId="3" borderId="116" xfId="0" applyFont="1" applyFill="1" applyBorder="1" applyAlignment="1">
      <alignment vertical="center"/>
    </xf>
    <xf numFmtId="0" fontId="27" fillId="3" borderId="10" xfId="0" applyFont="1" applyFill="1" applyBorder="1" applyAlignment="1">
      <alignment horizontal="center" vertical="center"/>
    </xf>
    <xf numFmtId="0" fontId="13" fillId="0" borderId="20" xfId="0" applyFont="1" applyBorder="1" applyAlignment="1">
      <alignment horizontal="right" vertical="center"/>
    </xf>
    <xf numFmtId="0" fontId="13" fillId="8" borderId="53" xfId="0" applyFont="1" applyFill="1" applyBorder="1" applyAlignment="1">
      <alignment horizontal="center" vertical="center"/>
    </xf>
    <xf numFmtId="0" fontId="13" fillId="0" borderId="53" xfId="0" applyFont="1" applyBorder="1" applyAlignment="1">
      <alignment horizontal="right" vertical="center"/>
    </xf>
    <xf numFmtId="0" fontId="13" fillId="8" borderId="59" xfId="0" applyFont="1" applyFill="1" applyBorder="1" applyAlignment="1">
      <alignment horizontal="center" vertical="center"/>
    </xf>
    <xf numFmtId="0" fontId="13" fillId="0" borderId="59" xfId="0" applyFont="1" applyBorder="1" applyAlignment="1">
      <alignment horizontal="right" vertical="center"/>
    </xf>
    <xf numFmtId="0" fontId="64" fillId="0" borderId="0" xfId="0" applyFont="1" applyAlignment="1">
      <alignment vertical="center"/>
    </xf>
    <xf numFmtId="0" fontId="13" fillId="0" borderId="82" xfId="9" applyFont="1" applyBorder="1">
      <alignment vertical="center"/>
    </xf>
    <xf numFmtId="0" fontId="13" fillId="0" borderId="59" xfId="9" applyFont="1" applyBorder="1">
      <alignment vertical="center"/>
    </xf>
    <xf numFmtId="0" fontId="13" fillId="0" borderId="93" xfId="9" applyFont="1" applyBorder="1">
      <alignment vertical="center"/>
    </xf>
    <xf numFmtId="0" fontId="13" fillId="0" borderId="102" xfId="9" applyFont="1" applyBorder="1">
      <alignment vertical="center"/>
    </xf>
    <xf numFmtId="0" fontId="13" fillId="0" borderId="46" xfId="9" applyFont="1" applyBorder="1">
      <alignment vertical="center"/>
    </xf>
    <xf numFmtId="2" fontId="13" fillId="0" borderId="20" xfId="9" applyNumberFormat="1" applyFont="1" applyBorder="1">
      <alignment vertical="center"/>
    </xf>
    <xf numFmtId="0" fontId="13" fillId="0" borderId="20" xfId="9" applyFont="1" applyBorder="1">
      <alignment vertical="center"/>
    </xf>
    <xf numFmtId="2" fontId="13" fillId="0" borderId="59" xfId="9" applyNumberFormat="1" applyFont="1" applyBorder="1">
      <alignment vertical="center"/>
    </xf>
    <xf numFmtId="181" fontId="13" fillId="0" borderId="18" xfId="9" applyNumberFormat="1" applyFont="1" applyBorder="1" applyAlignment="1">
      <alignment vertical="center" shrinkToFit="1"/>
    </xf>
    <xf numFmtId="181" fontId="13" fillId="0" borderId="11" xfId="9" applyNumberFormat="1" applyFont="1" applyBorder="1" applyAlignment="1">
      <alignment vertical="center" shrinkToFit="1"/>
    </xf>
    <xf numFmtId="181" fontId="13" fillId="0" borderId="77" xfId="9" applyNumberFormat="1" applyFont="1" applyBorder="1" applyAlignment="1">
      <alignment vertical="center" shrinkToFit="1"/>
    </xf>
    <xf numFmtId="0" fontId="13" fillId="0" borderId="117" xfId="9" applyFont="1" applyBorder="1">
      <alignment vertical="center"/>
    </xf>
    <xf numFmtId="0" fontId="0" fillId="2" borderId="0" xfId="0" applyFill="1"/>
    <xf numFmtId="0" fontId="52" fillId="0" borderId="0" xfId="0" applyFont="1" applyAlignment="1">
      <alignment horizontal="center" vertical="center"/>
    </xf>
    <xf numFmtId="0" fontId="0" fillId="3" borderId="0" xfId="0" applyFill="1"/>
    <xf numFmtId="0" fontId="52" fillId="0" borderId="6" xfId="0" applyFont="1" applyBorder="1" applyAlignment="1">
      <alignment horizontal="center" vertical="center"/>
    </xf>
    <xf numFmtId="0" fontId="13" fillId="0" borderId="0" xfId="2" applyFont="1" applyAlignment="1">
      <alignment horizontal="right" vertical="center"/>
    </xf>
    <xf numFmtId="0" fontId="13" fillId="3" borderId="118" xfId="0" applyFont="1" applyFill="1" applyBorder="1" applyAlignment="1">
      <alignment vertical="center" wrapText="1"/>
    </xf>
    <xf numFmtId="0" fontId="27" fillId="3" borderId="119" xfId="0" applyFont="1" applyFill="1" applyBorder="1" applyAlignment="1">
      <alignment horizontal="center" vertical="center"/>
    </xf>
    <xf numFmtId="0" fontId="79" fillId="0" borderId="0" xfId="0" applyFont="1" applyAlignment="1">
      <alignment vertical="center" wrapText="1"/>
    </xf>
    <xf numFmtId="0" fontId="0" fillId="0" borderId="43" xfId="0" applyBorder="1"/>
    <xf numFmtId="0" fontId="90" fillId="0" borderId="7" xfId="0" applyFont="1" applyBorder="1" applyAlignment="1">
      <alignment vertical="center" wrapText="1"/>
    </xf>
    <xf numFmtId="0" fontId="71" fillId="15" borderId="0" xfId="0" applyFont="1" applyFill="1" applyAlignment="1">
      <alignment horizontal="left" vertical="center" indent="1"/>
    </xf>
    <xf numFmtId="0" fontId="32" fillId="6" borderId="0" xfId="0" applyFont="1" applyFill="1" applyAlignment="1">
      <alignment horizontal="left" vertical="center" indent="2"/>
    </xf>
    <xf numFmtId="0" fontId="52" fillId="0" borderId="0" xfId="0" applyFont="1" applyAlignment="1">
      <alignment horizontal="left" vertical="center"/>
    </xf>
    <xf numFmtId="0" fontId="86" fillId="6" borderId="0" xfId="0" applyFont="1" applyFill="1" applyAlignment="1">
      <alignment horizontal="left" vertical="center" indent="1"/>
    </xf>
    <xf numFmtId="0" fontId="43" fillId="0" borderId="112" xfId="0" applyFont="1" applyBorder="1" applyAlignment="1">
      <alignment vertical="center" wrapText="1"/>
    </xf>
    <xf numFmtId="0" fontId="43" fillId="0" borderId="0" xfId="0" applyFont="1" applyAlignment="1">
      <alignment vertical="center" wrapText="1"/>
    </xf>
    <xf numFmtId="0" fontId="22" fillId="0" borderId="13" xfId="0" applyFont="1" applyBorder="1" applyAlignment="1">
      <alignment vertical="center"/>
    </xf>
    <xf numFmtId="0" fontId="43" fillId="4" borderId="0" xfId="0" applyFont="1" applyFill="1" applyAlignment="1">
      <alignment vertical="center"/>
    </xf>
    <xf numFmtId="0" fontId="16" fillId="7" borderId="0" xfId="0" applyFont="1" applyFill="1" applyAlignment="1">
      <alignment horizontal="center" vertical="center" wrapText="1"/>
    </xf>
    <xf numFmtId="0" fontId="16" fillId="0" borderId="12" xfId="0" applyFont="1" applyBorder="1" applyAlignment="1">
      <alignment vertical="center"/>
    </xf>
    <xf numFmtId="0" fontId="27" fillId="8" borderId="16" xfId="0" applyFont="1" applyFill="1" applyBorder="1" applyAlignment="1">
      <alignment vertical="center"/>
    </xf>
    <xf numFmtId="0" fontId="16" fillId="0" borderId="13" xfId="0" applyFont="1" applyBorder="1" applyAlignment="1">
      <alignment vertical="center"/>
    </xf>
    <xf numFmtId="1" fontId="43" fillId="18" borderId="0" xfId="0" applyNumberFormat="1" applyFont="1" applyFill="1" applyAlignment="1">
      <alignment horizontal="center" vertical="center"/>
    </xf>
    <xf numFmtId="0" fontId="91" fillId="0" borderId="0" xfId="0" applyFont="1"/>
    <xf numFmtId="0" fontId="92" fillId="0" borderId="0" xfId="0" applyFont="1"/>
    <xf numFmtId="0" fontId="93" fillId="8" borderId="20" xfId="0" applyFont="1" applyFill="1" applyBorder="1" applyAlignment="1">
      <alignment vertical="center"/>
    </xf>
    <xf numFmtId="0" fontId="93" fillId="8" borderId="110" xfId="0" applyFont="1" applyFill="1" applyBorder="1" applyAlignment="1">
      <alignment vertical="center"/>
    </xf>
    <xf numFmtId="0" fontId="93" fillId="8" borderId="18" xfId="0" applyFont="1" applyFill="1" applyBorder="1" applyAlignment="1">
      <alignment vertical="center"/>
    </xf>
    <xf numFmtId="0" fontId="44" fillId="7" borderId="0" xfId="0" applyFont="1" applyFill="1" applyAlignment="1">
      <alignment vertical="center"/>
    </xf>
    <xf numFmtId="177" fontId="44" fillId="7" borderId="0" xfId="0" applyNumberFormat="1" applyFont="1" applyFill="1" applyAlignment="1">
      <alignment vertical="center"/>
    </xf>
    <xf numFmtId="0" fontId="43" fillId="8" borderId="110" xfId="0" applyFont="1" applyFill="1" applyBorder="1" applyAlignment="1">
      <alignment vertical="center"/>
    </xf>
    <xf numFmtId="2" fontId="43" fillId="7" borderId="0" xfId="0" applyNumberFormat="1" applyFont="1" applyFill="1" applyAlignment="1">
      <alignment vertical="center"/>
    </xf>
    <xf numFmtId="2" fontId="43" fillId="7" borderId="121" xfId="0" applyNumberFormat="1" applyFont="1" applyFill="1" applyBorder="1" applyAlignment="1">
      <alignment vertical="center"/>
    </xf>
    <xf numFmtId="179" fontId="13" fillId="0" borderId="7" xfId="0" applyNumberFormat="1" applyFont="1" applyBorder="1" applyAlignment="1">
      <alignment horizontal="center" vertical="center" wrapText="1"/>
    </xf>
    <xf numFmtId="0" fontId="43" fillId="8" borderId="18" xfId="0" applyFont="1" applyFill="1" applyBorder="1" applyAlignment="1">
      <alignment vertical="center"/>
    </xf>
    <xf numFmtId="2" fontId="27" fillId="0" borderId="18" xfId="0" applyNumberFormat="1" applyFont="1" applyBorder="1" applyAlignment="1">
      <alignment vertical="center"/>
    </xf>
    <xf numFmtId="0" fontId="43" fillId="0" borderId="0" xfId="0" applyFont="1" applyAlignment="1">
      <alignment horizontal="right" vertical="center"/>
    </xf>
    <xf numFmtId="0" fontId="43" fillId="8" borderId="20" xfId="0" applyFont="1" applyFill="1" applyBorder="1" applyAlignment="1">
      <alignment vertical="center"/>
    </xf>
    <xf numFmtId="1" fontId="44" fillId="7" borderId="0" xfId="0" applyNumberFormat="1" applyFont="1" applyFill="1" applyAlignment="1">
      <alignment vertical="center"/>
    </xf>
    <xf numFmtId="0" fontId="44" fillId="7" borderId="121" xfId="0" applyFont="1" applyFill="1" applyBorder="1" applyAlignment="1">
      <alignment vertical="center"/>
    </xf>
    <xf numFmtId="0" fontId="13" fillId="0" borderId="0" xfId="0" applyFont="1" applyAlignment="1" applyProtection="1">
      <alignment vertical="center"/>
      <protection locked="0"/>
    </xf>
    <xf numFmtId="0" fontId="16" fillId="0" borderId="63" xfId="0" applyFont="1" applyBorder="1" applyAlignment="1" applyProtection="1">
      <alignment vertical="center"/>
      <protection locked="0"/>
    </xf>
    <xf numFmtId="0" fontId="13" fillId="0" borderId="63" xfId="0" applyFont="1" applyBorder="1" applyAlignment="1" applyProtection="1">
      <alignment vertical="center"/>
      <protection locked="0"/>
    </xf>
    <xf numFmtId="0" fontId="44" fillId="4" borderId="62" xfId="0" applyFont="1" applyFill="1" applyBorder="1" applyAlignment="1" applyProtection="1">
      <alignment vertical="center"/>
      <protection locked="0"/>
    </xf>
    <xf numFmtId="0" fontId="44" fillId="4" borderId="63" xfId="0" applyFont="1" applyFill="1" applyBorder="1" applyAlignment="1" applyProtection="1">
      <alignment vertical="center"/>
      <protection locked="0"/>
    </xf>
    <xf numFmtId="0" fontId="44" fillId="4" borderId="64" xfId="0" applyFont="1" applyFill="1" applyBorder="1" applyAlignment="1" applyProtection="1">
      <alignment vertical="center"/>
      <protection locked="0"/>
    </xf>
    <xf numFmtId="0" fontId="57" fillId="17" borderId="6" xfId="9" applyFont="1" applyFill="1" applyBorder="1" applyAlignment="1">
      <alignment horizontal="center" vertical="center"/>
    </xf>
    <xf numFmtId="0" fontId="57" fillId="17" borderId="18" xfId="9" applyFont="1" applyFill="1" applyBorder="1" applyAlignment="1">
      <alignment horizontal="center" vertical="center"/>
    </xf>
    <xf numFmtId="177" fontId="13" fillId="0" borderId="6" xfId="9" applyNumberFormat="1" applyFont="1" applyBorder="1">
      <alignment vertical="center"/>
    </xf>
    <xf numFmtId="177" fontId="13" fillId="0" borderId="59" xfId="9" applyNumberFormat="1" applyFont="1" applyBorder="1">
      <alignment vertical="center"/>
    </xf>
    <xf numFmtId="177" fontId="13" fillId="0" borderId="53" xfId="9" applyNumberFormat="1" applyFont="1" applyBorder="1">
      <alignment vertical="center"/>
    </xf>
    <xf numFmtId="177" fontId="13" fillId="0" borderId="20" xfId="9" applyNumberFormat="1" applyFont="1" applyBorder="1">
      <alignment vertical="center"/>
    </xf>
    <xf numFmtId="2" fontId="13" fillId="0" borderId="15" xfId="9" applyNumberFormat="1" applyFont="1" applyBorder="1">
      <alignment vertical="center"/>
    </xf>
    <xf numFmtId="2" fontId="13" fillId="0" borderId="82" xfId="9" applyNumberFormat="1" applyFont="1" applyBorder="1">
      <alignment vertical="center"/>
    </xf>
    <xf numFmtId="2" fontId="13" fillId="0" borderId="6" xfId="0" applyNumberFormat="1" applyFont="1" applyBorder="1" applyAlignment="1">
      <alignment horizontal="center" vertical="center"/>
    </xf>
    <xf numFmtId="177" fontId="13" fillId="0" borderId="18" xfId="9" applyNumberFormat="1" applyFont="1" applyBorder="1">
      <alignment vertical="center"/>
    </xf>
    <xf numFmtId="0" fontId="13" fillId="4" borderId="5" xfId="0" applyFont="1" applyFill="1" applyBorder="1" applyAlignment="1">
      <alignment horizontal="center" wrapText="1"/>
    </xf>
    <xf numFmtId="0" fontId="39" fillId="3" borderId="115" xfId="0" applyFont="1" applyFill="1" applyBorder="1" applyAlignment="1">
      <alignment horizontal="center" vertical="center"/>
    </xf>
    <xf numFmtId="0" fontId="39" fillId="3" borderId="122" xfId="0" applyFont="1" applyFill="1" applyBorder="1" applyAlignment="1">
      <alignment horizontal="center" vertical="center"/>
    </xf>
    <xf numFmtId="0" fontId="39" fillId="3" borderId="116" xfId="0" applyFont="1" applyFill="1" applyBorder="1" applyAlignment="1">
      <alignment horizontal="center" vertical="center"/>
    </xf>
    <xf numFmtId="0" fontId="16" fillId="4" borderId="9" xfId="0" applyFont="1" applyFill="1" applyBorder="1" applyAlignment="1">
      <alignment horizontal="center" vertical="center"/>
    </xf>
    <xf numFmtId="0" fontId="13" fillId="2" borderId="18" xfId="0" applyFont="1" applyFill="1" applyBorder="1" applyAlignment="1" applyProtection="1">
      <alignment horizontal="center" vertical="center"/>
      <protection locked="0"/>
    </xf>
    <xf numFmtId="0" fontId="13" fillId="2" borderId="18" xfId="0" applyFont="1" applyFill="1" applyBorder="1" applyAlignment="1" applyProtection="1">
      <alignment horizontal="center" vertical="center" wrapText="1"/>
      <protection locked="0"/>
    </xf>
    <xf numFmtId="179" fontId="13" fillId="0" borderId="9" xfId="0" applyNumberFormat="1" applyFont="1" applyBorder="1" applyAlignment="1">
      <alignment vertical="center" wrapText="1"/>
    </xf>
    <xf numFmtId="177" fontId="13" fillId="0" borderId="18" xfId="0" applyNumberFormat="1" applyFont="1" applyBorder="1" applyAlignment="1">
      <alignment horizontal="center" vertical="center"/>
    </xf>
    <xf numFmtId="178" fontId="13" fillId="0" borderId="17" xfId="0" applyNumberFormat="1" applyFont="1" applyBorder="1" applyAlignment="1">
      <alignment horizontal="center" vertical="center" wrapText="1"/>
    </xf>
    <xf numFmtId="0" fontId="39" fillId="3" borderId="19" xfId="0" applyFont="1" applyFill="1" applyBorder="1" applyAlignment="1">
      <alignment horizontal="center" vertical="center"/>
    </xf>
    <xf numFmtId="0" fontId="47" fillId="3" borderId="51" xfId="0" applyFont="1" applyFill="1" applyBorder="1" applyAlignment="1">
      <alignment horizontal="center" vertical="center"/>
    </xf>
    <xf numFmtId="2" fontId="43" fillId="0" borderId="121" xfId="0" applyNumberFormat="1" applyFont="1" applyBorder="1" applyAlignment="1">
      <alignment vertical="center"/>
    </xf>
    <xf numFmtId="2" fontId="13" fillId="0" borderId="18" xfId="0" applyNumberFormat="1" applyFont="1" applyBorder="1" applyAlignment="1">
      <alignment horizontal="center" vertical="center"/>
    </xf>
    <xf numFmtId="179" fontId="13" fillId="0" borderId="17" xfId="0" applyNumberFormat="1" applyFont="1" applyBorder="1" applyAlignment="1">
      <alignment horizontal="center" vertical="center" wrapText="1"/>
    </xf>
    <xf numFmtId="2" fontId="13" fillId="0" borderId="18" xfId="0" applyNumberFormat="1" applyFont="1" applyBorder="1" applyAlignment="1">
      <alignment horizontal="center" vertical="center" wrapText="1"/>
    </xf>
    <xf numFmtId="180" fontId="13" fillId="0" borderId="7" xfId="0" applyNumberFormat="1" applyFont="1" applyBorder="1" applyAlignment="1">
      <alignment horizontal="center" vertical="center"/>
    </xf>
    <xf numFmtId="0" fontId="13" fillId="0" borderId="18" xfId="0" applyFont="1" applyBorder="1" applyAlignment="1">
      <alignment horizontal="center" vertical="center"/>
    </xf>
    <xf numFmtId="180" fontId="13" fillId="0" borderId="46" xfId="0" applyNumberFormat="1" applyFont="1" applyBorder="1" applyAlignment="1">
      <alignment horizontal="center" vertical="center"/>
    </xf>
    <xf numFmtId="177" fontId="13" fillId="0" borderId="17" xfId="9" applyNumberFormat="1" applyFont="1" applyBorder="1">
      <alignment vertical="center"/>
    </xf>
    <xf numFmtId="177" fontId="13" fillId="0" borderId="7" xfId="9" applyNumberFormat="1" applyFont="1" applyBorder="1">
      <alignment vertical="center"/>
    </xf>
    <xf numFmtId="177" fontId="13" fillId="0" borderId="82" xfId="9" applyNumberFormat="1" applyFont="1" applyBorder="1">
      <alignment vertical="center"/>
    </xf>
    <xf numFmtId="2" fontId="42" fillId="19" borderId="0" xfId="3" applyNumberFormat="1" applyFont="1" applyFill="1" applyAlignment="1">
      <alignment vertical="center" wrapText="1"/>
    </xf>
    <xf numFmtId="1" fontId="43" fillId="20" borderId="0" xfId="0" applyNumberFormat="1" applyFont="1" applyFill="1" applyAlignment="1">
      <alignment horizontal="center" vertical="center"/>
    </xf>
    <xf numFmtId="1" fontId="43" fillId="20" borderId="41" xfId="0" applyNumberFormat="1" applyFont="1" applyFill="1" applyBorder="1" applyAlignment="1">
      <alignment horizontal="center" vertical="center"/>
    </xf>
    <xf numFmtId="176" fontId="43" fillId="0" borderId="0" xfId="0" applyNumberFormat="1" applyFont="1" applyAlignment="1">
      <alignment horizontal="center" vertical="center"/>
    </xf>
    <xf numFmtId="177" fontId="52" fillId="0" borderId="18" xfId="0" applyNumberFormat="1" applyFont="1" applyBorder="1" applyAlignment="1">
      <alignment horizontal="center" vertical="center" wrapText="1"/>
    </xf>
    <xf numFmtId="178" fontId="13" fillId="0" borderId="18" xfId="0" applyNumberFormat="1" applyFont="1" applyBorder="1" applyAlignment="1">
      <alignment horizontal="center" vertical="center" wrapText="1"/>
    </xf>
    <xf numFmtId="177" fontId="13" fillId="0" borderId="18" xfId="0" applyNumberFormat="1" applyFont="1" applyBorder="1" applyAlignment="1">
      <alignment horizontal="center" vertical="center" wrapText="1"/>
    </xf>
    <xf numFmtId="0" fontId="31" fillId="0" borderId="0" xfId="0" applyFont="1" applyAlignment="1">
      <alignment vertical="center"/>
    </xf>
    <xf numFmtId="0" fontId="57" fillId="17" borderId="123" xfId="9" applyFont="1" applyFill="1" applyBorder="1" applyAlignment="1">
      <alignment horizontal="center" vertical="center"/>
    </xf>
    <xf numFmtId="0" fontId="70" fillId="0" borderId="13" xfId="0" applyFont="1" applyBorder="1" applyAlignment="1">
      <alignment vertical="center"/>
    </xf>
    <xf numFmtId="0" fontId="47" fillId="3" borderId="3" xfId="0" applyFont="1" applyFill="1" applyBorder="1" applyAlignment="1">
      <alignment horizontal="center"/>
    </xf>
    <xf numFmtId="0" fontId="52" fillId="17" borderId="61" xfId="0" applyFont="1" applyFill="1" applyBorder="1" applyAlignment="1">
      <alignment wrapText="1"/>
    </xf>
    <xf numFmtId="0" fontId="85" fillId="6" borderId="0" xfId="0" applyFont="1" applyFill="1" applyAlignment="1">
      <alignment horizontal="right" indent="1"/>
    </xf>
    <xf numFmtId="0" fontId="52" fillId="0" borderId="0" xfId="0" applyFont="1" applyAlignment="1" applyProtection="1">
      <alignment vertical="center"/>
      <protection locked="0"/>
    </xf>
    <xf numFmtId="0" fontId="16" fillId="2" borderId="0" xfId="0" applyFont="1" applyFill="1" applyAlignment="1" applyProtection="1">
      <alignment vertical="center"/>
      <protection locked="0"/>
    </xf>
    <xf numFmtId="0" fontId="64" fillId="0" borderId="0" xfId="0" applyFont="1" applyAlignment="1">
      <alignment horizontal="center" vertical="center"/>
    </xf>
    <xf numFmtId="0" fontId="16" fillId="2" borderId="0" xfId="0" applyFont="1" applyFill="1" applyAlignment="1" applyProtection="1">
      <alignment vertical="center" wrapText="1"/>
      <protection locked="0"/>
    </xf>
    <xf numFmtId="0" fontId="0" fillId="0" borderId="0" xfId="0" applyAlignment="1" applyProtection="1">
      <alignment vertical="center" wrapText="1"/>
      <protection locked="0"/>
    </xf>
    <xf numFmtId="0" fontId="17" fillId="0" borderId="0" xfId="0" applyFont="1" applyAlignment="1">
      <alignment horizontal="right" vertical="center"/>
    </xf>
    <xf numFmtId="0" fontId="18" fillId="0" borderId="1" xfId="0" applyFont="1" applyBorder="1" applyAlignment="1">
      <alignment horizontal="center" vertical="center"/>
    </xf>
    <xf numFmtId="0" fontId="13" fillId="2" borderId="0" xfId="0" applyFont="1" applyFill="1" applyAlignment="1" applyProtection="1">
      <alignment vertical="center" wrapText="1"/>
      <protection locked="0"/>
    </xf>
    <xf numFmtId="0" fontId="25" fillId="2" borderId="11" xfId="0" applyFont="1" applyFill="1" applyBorder="1" applyAlignment="1" applyProtection="1">
      <alignment vertical="center" wrapText="1"/>
      <protection locked="0"/>
    </xf>
    <xf numFmtId="0" fontId="16" fillId="7" borderId="8" xfId="0" applyFont="1" applyFill="1" applyBorder="1" applyAlignment="1">
      <alignment horizontal="center" vertical="center" wrapText="1"/>
    </xf>
    <xf numFmtId="0" fontId="16" fillId="7" borderId="14" xfId="0" applyFont="1" applyFill="1" applyBorder="1" applyAlignment="1">
      <alignment horizontal="center" vertical="center" wrapText="1"/>
    </xf>
    <xf numFmtId="0" fontId="16" fillId="7" borderId="9" xfId="0" applyFont="1" applyFill="1" applyBorder="1" applyAlignment="1">
      <alignment horizontal="center" vertical="center" wrapText="1"/>
    </xf>
    <xf numFmtId="0" fontId="20" fillId="3" borderId="47" xfId="0" applyFont="1" applyFill="1" applyBorder="1" applyAlignment="1">
      <alignment horizontal="center" vertical="center"/>
    </xf>
    <xf numFmtId="0" fontId="20" fillId="3" borderId="12" xfId="0" applyFont="1" applyFill="1" applyBorder="1" applyAlignment="1">
      <alignment horizontal="center" vertical="center"/>
    </xf>
    <xf numFmtId="0" fontId="20" fillId="3" borderId="19" xfId="0" applyFont="1" applyFill="1" applyBorder="1" applyAlignment="1">
      <alignment horizontal="center" vertical="center"/>
    </xf>
    <xf numFmtId="0" fontId="13" fillId="2" borderId="17" xfId="0" applyFont="1" applyFill="1" applyBorder="1" applyAlignment="1" applyProtection="1">
      <alignment vertical="center" wrapText="1"/>
      <protection locked="0"/>
    </xf>
    <xf numFmtId="0" fontId="13" fillId="2" borderId="9" xfId="0" applyFont="1" applyFill="1" applyBorder="1" applyAlignment="1" applyProtection="1">
      <alignment vertical="center" wrapText="1"/>
      <protection locked="0"/>
    </xf>
    <xf numFmtId="0" fontId="13" fillId="2" borderId="7" xfId="0" applyFont="1" applyFill="1" applyBorder="1" applyAlignment="1" applyProtection="1">
      <alignment vertical="center" wrapText="1"/>
      <protection locked="0"/>
    </xf>
    <xf numFmtId="0" fontId="13" fillId="2" borderId="11" xfId="0" applyFont="1" applyFill="1" applyBorder="1" applyAlignment="1" applyProtection="1">
      <alignment vertical="center" wrapText="1"/>
      <protection locked="0"/>
    </xf>
    <xf numFmtId="0" fontId="20" fillId="3" borderId="4" xfId="0" applyFont="1" applyFill="1" applyBorder="1" applyAlignment="1">
      <alignment horizontal="center" vertical="center"/>
    </xf>
    <xf numFmtId="0" fontId="20" fillId="3" borderId="2" xfId="0" applyFont="1" applyFill="1" applyBorder="1" applyAlignment="1">
      <alignment horizontal="center" vertical="center"/>
    </xf>
    <xf numFmtId="0" fontId="20" fillId="3" borderId="0" xfId="0" applyFont="1" applyFill="1" applyAlignment="1">
      <alignment horizontal="center" vertical="center"/>
    </xf>
    <xf numFmtId="0" fontId="20" fillId="3" borderId="4" xfId="0" applyFont="1" applyFill="1" applyBorder="1" applyAlignment="1">
      <alignment horizontal="center" vertical="center" wrapText="1"/>
    </xf>
    <xf numFmtId="0" fontId="20" fillId="3" borderId="95" xfId="0" applyFont="1" applyFill="1" applyBorder="1" applyAlignment="1">
      <alignment horizontal="center" vertical="top" wrapText="1"/>
    </xf>
    <xf numFmtId="0" fontId="20" fillId="3" borderId="96" xfId="0" applyFont="1" applyFill="1" applyBorder="1" applyAlignment="1">
      <alignment horizontal="center" vertical="top" wrapText="1"/>
    </xf>
    <xf numFmtId="0" fontId="13" fillId="2" borderId="12" xfId="0" applyFont="1" applyFill="1" applyBorder="1" applyAlignment="1" applyProtection="1">
      <alignment vertical="center" wrapText="1"/>
      <protection locked="0"/>
    </xf>
    <xf numFmtId="0" fontId="39" fillId="3" borderId="49" xfId="0" applyFont="1" applyFill="1" applyBorder="1" applyAlignment="1">
      <alignment horizontal="center" vertical="center"/>
    </xf>
    <xf numFmtId="0" fontId="39" fillId="3" borderId="4" xfId="0" applyFont="1" applyFill="1" applyBorder="1" applyAlignment="1">
      <alignment horizontal="center" vertical="center"/>
    </xf>
    <xf numFmtId="0" fontId="39" fillId="3" borderId="0" xfId="0" applyFont="1" applyFill="1" applyAlignment="1">
      <alignment horizontal="center" vertical="center"/>
    </xf>
    <xf numFmtId="0" fontId="39" fillId="3" borderId="2" xfId="0" applyFont="1" applyFill="1" applyBorder="1" applyAlignment="1">
      <alignment horizontal="center" vertical="center"/>
    </xf>
    <xf numFmtId="0" fontId="79" fillId="0" borderId="0" xfId="0" applyFont="1" applyAlignment="1">
      <alignment horizontal="center" vertical="center"/>
    </xf>
    <xf numFmtId="0" fontId="79" fillId="0" borderId="0" xfId="0" applyFont="1" applyAlignment="1">
      <alignment horizontal="center" vertical="center" wrapText="1"/>
    </xf>
    <xf numFmtId="0" fontId="13" fillId="2" borderId="5" xfId="0" applyFont="1" applyFill="1" applyBorder="1" applyAlignment="1" applyProtection="1">
      <alignment vertical="center" wrapText="1"/>
      <protection locked="0"/>
    </xf>
    <xf numFmtId="0" fontId="20" fillId="3" borderId="0" xfId="0" applyFont="1" applyFill="1" applyAlignment="1">
      <alignment horizontal="center" vertical="center" wrapText="1"/>
    </xf>
    <xf numFmtId="0" fontId="20" fillId="3" borderId="2" xfId="0" applyFont="1" applyFill="1" applyBorder="1" applyAlignment="1">
      <alignment horizontal="center" vertical="center" wrapText="1"/>
    </xf>
    <xf numFmtId="0" fontId="29" fillId="6" borderId="0" xfId="0" applyFont="1" applyFill="1" applyAlignment="1">
      <alignment vertical="center"/>
    </xf>
    <xf numFmtId="0" fontId="39" fillId="3" borderId="3" xfId="0" applyFont="1" applyFill="1" applyBorder="1" applyAlignment="1">
      <alignment horizontal="center" vertical="center"/>
    </xf>
    <xf numFmtId="0" fontId="14" fillId="0" borderId="0" xfId="0" applyFont="1" applyAlignment="1">
      <alignment horizontal="center" vertical="center"/>
    </xf>
    <xf numFmtId="0" fontId="13" fillId="2" borderId="16" xfId="0" applyFont="1" applyFill="1" applyBorder="1" applyAlignment="1" applyProtection="1">
      <alignment vertical="center" wrapText="1"/>
      <protection locked="0"/>
    </xf>
    <xf numFmtId="0" fontId="39" fillId="3" borderId="115" xfId="0" applyFont="1" applyFill="1" applyBorder="1" applyAlignment="1">
      <alignment horizontal="center" vertical="center"/>
    </xf>
    <xf numFmtId="0" fontId="68" fillId="0" borderId="1" xfId="0" applyFont="1" applyBorder="1" applyAlignment="1">
      <alignment horizontal="center" vertical="center"/>
    </xf>
    <xf numFmtId="0" fontId="67" fillId="0" borderId="0" xfId="0" applyFont="1" applyAlignment="1">
      <alignment vertical="center"/>
    </xf>
    <xf numFmtId="0" fontId="67" fillId="0" borderId="14" xfId="0" applyFont="1" applyBorder="1" applyAlignment="1">
      <alignment vertical="center"/>
    </xf>
    <xf numFmtId="0" fontId="39" fillId="3" borderId="7" xfId="0" applyFont="1" applyFill="1" applyBorder="1" applyAlignment="1">
      <alignment horizontal="center" vertical="center"/>
    </xf>
    <xf numFmtId="0" fontId="39" fillId="3" borderId="5" xfId="0" applyFont="1" applyFill="1" applyBorder="1" applyAlignment="1">
      <alignment horizontal="center" vertical="center"/>
    </xf>
    <xf numFmtId="0" fontId="24" fillId="0" borderId="0" xfId="0" applyFont="1" applyAlignment="1">
      <alignment vertical="center"/>
    </xf>
    <xf numFmtId="0" fontId="24" fillId="0" borderId="1" xfId="0" applyFont="1" applyBorder="1" applyAlignment="1">
      <alignment vertical="center"/>
    </xf>
    <xf numFmtId="0" fontId="65" fillId="0" borderId="15" xfId="0" applyFont="1" applyBorder="1" applyAlignment="1">
      <alignment horizontal="center" vertical="center"/>
    </xf>
    <xf numFmtId="0" fontId="65" fillId="0" borderId="8" xfId="0" applyFont="1" applyBorder="1" applyAlignment="1">
      <alignment horizontal="center" vertical="center"/>
    </xf>
    <xf numFmtId="0" fontId="65" fillId="0" borderId="17" xfId="0" applyFont="1" applyBorder="1" applyAlignment="1">
      <alignment horizontal="center" vertical="center"/>
    </xf>
    <xf numFmtId="0" fontId="65" fillId="0" borderId="9" xfId="0" applyFont="1" applyBorder="1" applyAlignment="1">
      <alignment horizontal="center" vertical="center"/>
    </xf>
    <xf numFmtId="0" fontId="39" fillId="3" borderId="47" xfId="0" applyFont="1" applyFill="1" applyBorder="1" applyAlignment="1">
      <alignment horizontal="center" vertical="center"/>
    </xf>
    <xf numFmtId="0" fontId="39" fillId="3" borderId="12" xfId="0" applyFont="1" applyFill="1" applyBorder="1" applyAlignment="1">
      <alignment horizontal="center" vertical="center"/>
    </xf>
    <xf numFmtId="0" fontId="39" fillId="3" borderId="48" xfId="0" applyFont="1" applyFill="1" applyBorder="1" applyAlignment="1">
      <alignment horizontal="center" vertical="center"/>
    </xf>
    <xf numFmtId="0" fontId="39" fillId="3" borderId="13" xfId="0" applyFont="1" applyFill="1" applyBorder="1" applyAlignment="1">
      <alignment horizontal="center" vertical="center"/>
    </xf>
    <xf numFmtId="0" fontId="39" fillId="3" borderId="50" xfId="0" applyFont="1" applyFill="1" applyBorder="1" applyAlignment="1">
      <alignment horizontal="center" vertical="center"/>
    </xf>
    <xf numFmtId="0" fontId="42" fillId="0" borderId="33" xfId="0" applyFont="1" applyBorder="1" applyAlignment="1">
      <alignment horizontal="left" vertical="top" wrapText="1"/>
    </xf>
    <xf numFmtId="0" fontId="42" fillId="0" borderId="34" xfId="0" applyFont="1" applyBorder="1" applyAlignment="1">
      <alignment horizontal="left" vertical="top" wrapText="1"/>
    </xf>
    <xf numFmtId="0" fontId="42" fillId="0" borderId="35" xfId="0" applyFont="1" applyBorder="1" applyAlignment="1">
      <alignment horizontal="left" vertical="top" wrapText="1"/>
    </xf>
    <xf numFmtId="2" fontId="51" fillId="0" borderId="33" xfId="0" applyNumberFormat="1" applyFont="1" applyBorder="1" applyAlignment="1">
      <alignment horizontal="center" vertical="top" shrinkToFit="1"/>
    </xf>
    <xf numFmtId="2" fontId="51" fillId="0" borderId="35" xfId="0" applyNumberFormat="1" applyFont="1" applyBorder="1" applyAlignment="1">
      <alignment horizontal="center" vertical="top" shrinkToFit="1"/>
    </xf>
    <xf numFmtId="0" fontId="0" fillId="0" borderId="0" xfId="0" applyAlignment="1">
      <alignment horizontal="left" vertical="top" wrapText="1" indent="8"/>
    </xf>
    <xf numFmtId="0" fontId="27" fillId="9" borderId="26" xfId="0" applyFont="1" applyFill="1" applyBorder="1" applyAlignment="1">
      <alignment horizontal="left" vertical="top" wrapText="1"/>
    </xf>
    <xf numFmtId="0" fontId="27" fillId="9" borderId="28" xfId="0" applyFont="1" applyFill="1" applyBorder="1" applyAlignment="1">
      <alignment horizontal="left" vertical="top" wrapText="1"/>
    </xf>
    <xf numFmtId="0" fontId="27" fillId="9" borderId="0" xfId="0" applyFont="1" applyFill="1" applyAlignment="1">
      <alignment horizontal="left" vertical="top" wrapText="1"/>
    </xf>
    <xf numFmtId="0" fontId="27" fillId="9" borderId="21" xfId="0" applyFont="1" applyFill="1" applyBorder="1" applyAlignment="1">
      <alignment horizontal="left" vertical="top" wrapText="1"/>
    </xf>
    <xf numFmtId="0" fontId="27" fillId="9" borderId="39" xfId="0" applyFont="1" applyFill="1" applyBorder="1" applyAlignment="1">
      <alignment horizontal="left" vertical="top" wrapText="1"/>
    </xf>
    <xf numFmtId="0" fontId="27" fillId="9" borderId="22" xfId="0" applyFont="1" applyFill="1" applyBorder="1" applyAlignment="1">
      <alignment horizontal="left" vertical="top" wrapText="1"/>
    </xf>
    <xf numFmtId="0" fontId="42" fillId="10" borderId="25" xfId="0" applyFont="1" applyFill="1" applyBorder="1" applyAlignment="1">
      <alignment horizontal="left" vertical="top" wrapText="1"/>
    </xf>
    <xf numFmtId="0" fontId="42" fillId="10" borderId="28" xfId="0" applyFont="1" applyFill="1" applyBorder="1" applyAlignment="1">
      <alignment horizontal="left" vertical="top" wrapText="1"/>
    </xf>
    <xf numFmtId="0" fontId="42" fillId="10" borderId="23" xfId="0" applyFont="1" applyFill="1" applyBorder="1" applyAlignment="1">
      <alignment horizontal="left" vertical="top" wrapText="1"/>
    </xf>
    <xf numFmtId="0" fontId="42" fillId="10" borderId="21" xfId="0" applyFont="1" applyFill="1" applyBorder="1" applyAlignment="1">
      <alignment horizontal="left" vertical="top" wrapText="1"/>
    </xf>
    <xf numFmtId="0" fontId="42" fillId="10" borderId="24" xfId="0" applyFont="1" applyFill="1" applyBorder="1" applyAlignment="1">
      <alignment horizontal="left" vertical="top" wrapText="1"/>
    </xf>
    <xf numFmtId="0" fontId="42" fillId="10" borderId="22" xfId="0" applyFont="1" applyFill="1" applyBorder="1" applyAlignment="1">
      <alignment horizontal="left" vertical="top" wrapText="1"/>
    </xf>
    <xf numFmtId="0" fontId="42" fillId="0" borderId="36" xfId="0" applyFont="1" applyBorder="1" applyAlignment="1">
      <alignment horizontal="left" vertical="top" wrapText="1"/>
    </xf>
    <xf numFmtId="0" fontId="42" fillId="0" borderId="37" xfId="0" applyFont="1" applyBorder="1" applyAlignment="1">
      <alignment horizontal="left" vertical="top" wrapText="1"/>
    </xf>
    <xf numFmtId="0" fontId="42" fillId="0" borderId="38" xfId="0" applyFont="1" applyBorder="1" applyAlignment="1">
      <alignment horizontal="left" vertical="top" wrapText="1"/>
    </xf>
    <xf numFmtId="0" fontId="42" fillId="10" borderId="33" xfId="0" applyFont="1" applyFill="1" applyBorder="1" applyAlignment="1">
      <alignment horizontal="center" vertical="top" wrapText="1"/>
    </xf>
    <xf numFmtId="0" fontId="42" fillId="10" borderId="35" xfId="0" applyFont="1" applyFill="1" applyBorder="1" applyAlignment="1">
      <alignment horizontal="center" vertical="top" wrapText="1"/>
    </xf>
    <xf numFmtId="0" fontId="51" fillId="9" borderId="26" xfId="0" applyFont="1" applyFill="1" applyBorder="1" applyAlignment="1">
      <alignment horizontal="left" vertical="top" wrapText="1"/>
    </xf>
    <xf numFmtId="0" fontId="42" fillId="9" borderId="0" xfId="0" applyFont="1" applyFill="1" applyAlignment="1">
      <alignment horizontal="left" vertical="top" wrapText="1"/>
    </xf>
    <xf numFmtId="0" fontId="42" fillId="9" borderId="21" xfId="0" applyFont="1" applyFill="1" applyBorder="1" applyAlignment="1">
      <alignment horizontal="left" vertical="top" wrapText="1"/>
    </xf>
    <xf numFmtId="0" fontId="42" fillId="9" borderId="39" xfId="0" applyFont="1" applyFill="1" applyBorder="1" applyAlignment="1">
      <alignment horizontal="left" vertical="top" wrapText="1"/>
    </xf>
    <xf numFmtId="0" fontId="42" fillId="9" borderId="22" xfId="0" applyFont="1" applyFill="1" applyBorder="1" applyAlignment="1">
      <alignment horizontal="left" vertical="top" wrapText="1"/>
    </xf>
    <xf numFmtId="0" fontId="42" fillId="11" borderId="4" xfId="0" applyFont="1" applyFill="1" applyBorder="1" applyAlignment="1">
      <alignment horizontal="center" vertical="top" wrapText="1"/>
    </xf>
    <xf numFmtId="0" fontId="42" fillId="11" borderId="0" xfId="0" applyFont="1" applyFill="1" applyAlignment="1">
      <alignment horizontal="center" vertical="top" wrapText="1"/>
    </xf>
    <xf numFmtId="0" fontId="42" fillId="11" borderId="2" xfId="0" applyFont="1" applyFill="1" applyBorder="1" applyAlignment="1">
      <alignment horizontal="center" vertical="top" wrapText="1"/>
    </xf>
    <xf numFmtId="0" fontId="49" fillId="11" borderId="0" xfId="0" applyFont="1" applyFill="1" applyAlignment="1">
      <alignment horizontal="center" vertical="top" wrapText="1"/>
    </xf>
    <xf numFmtId="0" fontId="49" fillId="11" borderId="4" xfId="0" applyFont="1" applyFill="1" applyBorder="1" applyAlignment="1">
      <alignment horizontal="center" vertical="top" wrapText="1"/>
    </xf>
    <xf numFmtId="0" fontId="42" fillId="13" borderId="30" xfId="0" applyFont="1" applyFill="1" applyBorder="1" applyAlignment="1">
      <alignment horizontal="center" vertical="top" wrapText="1"/>
    </xf>
    <xf numFmtId="0" fontId="42" fillId="13" borderId="39" xfId="0" applyFont="1" applyFill="1" applyBorder="1" applyAlignment="1">
      <alignment horizontal="center" vertical="top" wrapText="1"/>
    </xf>
    <xf numFmtId="0" fontId="42" fillId="13" borderId="45" xfId="0" applyFont="1" applyFill="1" applyBorder="1" applyAlignment="1">
      <alignment horizontal="center" vertical="top" wrapText="1"/>
    </xf>
    <xf numFmtId="0" fontId="27" fillId="13" borderId="39" xfId="0" applyFont="1" applyFill="1" applyBorder="1" applyAlignment="1">
      <alignment horizontal="center" vertical="top" wrapText="1"/>
    </xf>
    <xf numFmtId="0" fontId="14" fillId="5" borderId="14" xfId="0" applyFont="1" applyFill="1" applyBorder="1" applyAlignment="1">
      <alignment horizontal="center" vertical="center"/>
    </xf>
    <xf numFmtId="0" fontId="14" fillId="5" borderId="9" xfId="0" applyFont="1" applyFill="1" applyBorder="1" applyAlignment="1">
      <alignment horizontal="center" vertical="center"/>
    </xf>
    <xf numFmtId="0" fontId="13" fillId="0" borderId="15" xfId="0" applyFont="1" applyBorder="1" applyAlignment="1">
      <alignment horizontal="left" vertical="center" wrapText="1"/>
    </xf>
    <xf numFmtId="0" fontId="13" fillId="0" borderId="17" xfId="0" applyFont="1" applyBorder="1" applyAlignment="1">
      <alignment horizontal="left" vertical="center" wrapText="1"/>
    </xf>
    <xf numFmtId="0" fontId="13" fillId="0" borderId="15" xfId="0" applyFont="1" applyBorder="1" applyAlignment="1">
      <alignment wrapText="1"/>
    </xf>
    <xf numFmtId="0" fontId="13" fillId="0" borderId="8" xfId="0" applyFont="1" applyBorder="1" applyAlignment="1">
      <alignment wrapText="1"/>
    </xf>
    <xf numFmtId="0" fontId="20" fillId="3" borderId="3" xfId="0" applyFont="1" applyFill="1" applyBorder="1" applyAlignment="1">
      <alignment horizontal="center" vertical="center" wrapText="1"/>
    </xf>
    <xf numFmtId="0" fontId="13" fillId="2" borderId="16" xfId="0" applyFont="1" applyFill="1" applyBorder="1" applyAlignment="1" applyProtection="1">
      <alignment horizontal="center" vertical="center" wrapText="1"/>
      <protection locked="0"/>
    </xf>
    <xf numFmtId="0" fontId="13" fillId="2" borderId="0" xfId="0" applyFont="1" applyFill="1" applyAlignment="1" applyProtection="1">
      <alignment horizontal="center" vertical="center" wrapText="1"/>
      <protection locked="0"/>
    </xf>
    <xf numFmtId="0" fontId="13" fillId="2" borderId="7" xfId="0" applyFont="1" applyFill="1" applyBorder="1" applyAlignment="1" applyProtection="1">
      <alignment horizontal="center" vertical="center" wrapText="1"/>
      <protection locked="0"/>
    </xf>
    <xf numFmtId="0" fontId="13" fillId="2" borderId="11" xfId="0" applyFont="1" applyFill="1" applyBorder="1" applyAlignment="1" applyProtection="1">
      <alignment horizontal="center" vertical="center" wrapText="1"/>
      <protection locked="0"/>
    </xf>
    <xf numFmtId="0" fontId="13" fillId="3" borderId="119" xfId="0" applyFont="1" applyFill="1" applyBorder="1" applyAlignment="1">
      <alignment vertical="center" wrapText="1"/>
    </xf>
    <xf numFmtId="0" fontId="13" fillId="3" borderId="120" xfId="0" applyFont="1" applyFill="1" applyBorder="1" applyAlignment="1">
      <alignment vertical="center" wrapText="1"/>
    </xf>
    <xf numFmtId="0" fontId="14" fillId="5" borderId="8" xfId="0" applyFont="1" applyFill="1" applyBorder="1" applyAlignment="1">
      <alignment horizontal="center" vertical="center"/>
    </xf>
    <xf numFmtId="0" fontId="13" fillId="0" borderId="15" xfId="0" applyFont="1" applyBorder="1" applyAlignment="1">
      <alignment vertical="center" wrapText="1"/>
    </xf>
    <xf numFmtId="0" fontId="13" fillId="0" borderId="8" xfId="0" applyFont="1" applyBorder="1" applyAlignment="1">
      <alignment vertical="center" wrapText="1"/>
    </xf>
    <xf numFmtId="0" fontId="13" fillId="3" borderId="119" xfId="0" applyFont="1" applyFill="1" applyBorder="1" applyAlignment="1">
      <alignment horizontal="center" vertical="center" wrapText="1"/>
    </xf>
    <xf numFmtId="0" fontId="27" fillId="0" borderId="13" xfId="0" applyFont="1" applyBorder="1" applyAlignment="1">
      <alignment horizontal="center" vertical="center"/>
    </xf>
    <xf numFmtId="0" fontId="27" fillId="0" borderId="0" xfId="0" applyFont="1" applyAlignment="1">
      <alignment horizontal="center" vertical="center"/>
    </xf>
    <xf numFmtId="0" fontId="27" fillId="0" borderId="12" xfId="0" applyFont="1" applyBorder="1" applyAlignment="1">
      <alignment horizontal="center" vertical="center"/>
    </xf>
    <xf numFmtId="0" fontId="27" fillId="0" borderId="13" xfId="0" applyFont="1" applyBorder="1" applyAlignment="1">
      <alignment horizontal="center" vertical="center" wrapText="1"/>
    </xf>
    <xf numFmtId="0" fontId="27" fillId="0" borderId="0" xfId="0" applyFont="1" applyAlignment="1">
      <alignment horizontal="center" vertical="center" wrapText="1"/>
    </xf>
    <xf numFmtId="0" fontId="27" fillId="0" borderId="12" xfId="0" applyFont="1" applyBorder="1" applyAlignment="1">
      <alignment horizontal="center" vertical="center" wrapText="1"/>
    </xf>
    <xf numFmtId="0" fontId="27" fillId="0" borderId="13" xfId="0" applyFont="1" applyBorder="1" applyAlignment="1">
      <alignment vertical="center"/>
    </xf>
    <xf numFmtId="0" fontId="27" fillId="0" borderId="0" xfId="0" applyFont="1" applyAlignment="1">
      <alignment vertical="center"/>
    </xf>
    <xf numFmtId="0" fontId="27" fillId="0" borderId="12" xfId="0" applyFont="1" applyBorder="1" applyAlignment="1">
      <alignment vertical="center"/>
    </xf>
    <xf numFmtId="0" fontId="27" fillId="0" borderId="0" xfId="0" applyFont="1" applyAlignment="1">
      <alignment vertical="center" wrapText="1"/>
    </xf>
    <xf numFmtId="0" fontId="27" fillId="0" borderId="13" xfId="0" applyFont="1" applyBorder="1" applyAlignment="1">
      <alignment vertical="center" wrapText="1"/>
    </xf>
    <xf numFmtId="0" fontId="75" fillId="17" borderId="86" xfId="9" applyFont="1" applyFill="1" applyBorder="1" applyAlignment="1">
      <alignment horizontal="center" vertical="center"/>
    </xf>
    <xf numFmtId="0" fontId="75" fillId="17" borderId="18" xfId="9" applyFont="1" applyFill="1" applyBorder="1" applyAlignment="1">
      <alignment horizontal="center" vertical="center"/>
    </xf>
    <xf numFmtId="0" fontId="75" fillId="17" borderId="87" xfId="9" applyFont="1" applyFill="1" applyBorder="1" applyAlignment="1">
      <alignment horizontal="center" vertical="center"/>
    </xf>
    <xf numFmtId="0" fontId="57" fillId="17" borderId="65" xfId="9" applyFont="1" applyFill="1" applyBorder="1" applyAlignment="1">
      <alignment horizontal="center" vertical="center"/>
    </xf>
    <xf numFmtId="0" fontId="57" fillId="17" borderId="66" xfId="9" applyFont="1" applyFill="1" applyBorder="1" applyAlignment="1">
      <alignment horizontal="center" vertical="center"/>
    </xf>
    <xf numFmtId="0" fontId="52" fillId="0" borderId="73" xfId="9" applyFont="1" applyBorder="1" applyAlignment="1">
      <alignment vertical="center" wrapText="1"/>
    </xf>
    <xf numFmtId="0" fontId="52" fillId="0" borderId="75" xfId="9" applyFont="1" applyBorder="1" applyAlignment="1">
      <alignment vertical="center" wrapText="1"/>
    </xf>
    <xf numFmtId="0" fontId="15" fillId="0" borderId="17" xfId="9" applyFont="1" applyBorder="1" applyAlignment="1">
      <alignment vertical="center" wrapText="1" shrinkToFit="1"/>
    </xf>
    <xf numFmtId="0" fontId="15" fillId="0" borderId="12" xfId="9" applyFont="1" applyBorder="1" applyAlignment="1">
      <alignment vertical="center" wrapText="1" shrinkToFit="1"/>
    </xf>
    <xf numFmtId="0" fontId="15" fillId="0" borderId="89" xfId="9" applyFont="1" applyBorder="1" applyAlignment="1">
      <alignment vertical="center" wrapText="1" shrinkToFit="1"/>
    </xf>
    <xf numFmtId="0" fontId="57" fillId="17" borderId="53" xfId="9" applyFont="1" applyFill="1" applyBorder="1" applyAlignment="1">
      <alignment horizontal="center" vertical="center"/>
    </xf>
    <xf numFmtId="0" fontId="57" fillId="17" borderId="74" xfId="9" applyFont="1" applyFill="1" applyBorder="1" applyAlignment="1">
      <alignment horizontal="center" vertical="center"/>
    </xf>
    <xf numFmtId="0" fontId="57" fillId="17" borderId="73" xfId="9" applyFont="1" applyFill="1" applyBorder="1" applyAlignment="1">
      <alignment horizontal="center" vertical="center"/>
    </xf>
    <xf numFmtId="0" fontId="57" fillId="17" borderId="82" xfId="9" applyFont="1" applyFill="1" applyBorder="1" applyAlignment="1">
      <alignment horizontal="center" vertical="center"/>
    </xf>
    <xf numFmtId="0" fontId="57" fillId="17" borderId="77" xfId="9" applyFont="1" applyFill="1" applyBorder="1" applyAlignment="1">
      <alignment horizontal="center" vertical="center"/>
    </xf>
    <xf numFmtId="0" fontId="57" fillId="17" borderId="70" xfId="9" applyFont="1" applyFill="1" applyBorder="1" applyAlignment="1">
      <alignment horizontal="center" vertical="center"/>
    </xf>
    <xf numFmtId="0" fontId="75" fillId="17" borderId="88" xfId="9" applyFont="1" applyFill="1" applyBorder="1" applyAlignment="1">
      <alignment horizontal="center" vertical="center"/>
    </xf>
    <xf numFmtId="0" fontId="75" fillId="17" borderId="60" xfId="9" applyFont="1" applyFill="1" applyBorder="1" applyAlignment="1">
      <alignment horizontal="center" vertical="center"/>
    </xf>
    <xf numFmtId="0" fontId="75" fillId="17" borderId="81" xfId="9" applyFont="1" applyFill="1" applyBorder="1" applyAlignment="1">
      <alignment horizontal="center" vertical="center"/>
    </xf>
    <xf numFmtId="0" fontId="75" fillId="17" borderId="56" xfId="9" applyFont="1" applyFill="1" applyBorder="1" applyAlignment="1">
      <alignment horizontal="center" vertical="center"/>
    </xf>
    <xf numFmtId="0" fontId="75" fillId="17" borderId="6" xfId="9" applyFont="1" applyFill="1" applyBorder="1" applyAlignment="1">
      <alignment horizontal="center" vertical="center"/>
    </xf>
    <xf numFmtId="0" fontId="75" fillId="17" borderId="57" xfId="9" applyFont="1" applyFill="1" applyBorder="1" applyAlignment="1">
      <alignment horizontal="center" vertical="center"/>
    </xf>
    <xf numFmtId="0" fontId="57" fillId="17" borderId="56" xfId="9" applyFont="1" applyFill="1" applyBorder="1" applyAlignment="1">
      <alignment horizontal="center" vertical="center"/>
    </xf>
    <xf numFmtId="0" fontId="57" fillId="17" borderId="57" xfId="9" applyFont="1" applyFill="1" applyBorder="1" applyAlignment="1">
      <alignment horizontal="center" vertical="center"/>
    </xf>
    <xf numFmtId="0" fontId="13" fillId="0" borderId="82" xfId="9" applyFont="1" applyBorder="1">
      <alignment vertical="center"/>
    </xf>
    <xf numFmtId="0" fontId="13" fillId="0" borderId="78" xfId="9" applyFont="1" applyBorder="1">
      <alignment vertical="center"/>
    </xf>
    <xf numFmtId="0" fontId="13" fillId="0" borderId="103" xfId="9" applyFont="1" applyBorder="1" applyAlignment="1">
      <alignment vertical="center" wrapText="1"/>
    </xf>
    <xf numFmtId="0" fontId="13" fillId="0" borderId="104" xfId="9" applyFont="1" applyBorder="1" applyAlignment="1">
      <alignment vertical="center" wrapText="1"/>
    </xf>
    <xf numFmtId="0" fontId="13" fillId="0" borderId="90" xfId="9" applyFont="1" applyBorder="1" applyAlignment="1">
      <alignment vertical="center" wrapText="1"/>
    </xf>
    <xf numFmtId="0" fontId="15" fillId="0" borderId="80" xfId="9" applyFont="1" applyBorder="1" applyAlignment="1">
      <alignment vertical="center" wrapText="1" shrinkToFit="1"/>
    </xf>
    <xf numFmtId="0" fontId="15" fillId="0" borderId="60" xfId="9" applyFont="1" applyBorder="1" applyAlignment="1">
      <alignment vertical="center" wrapText="1" shrinkToFit="1"/>
    </xf>
    <xf numFmtId="0" fontId="15" fillId="0" borderId="81" xfId="9" applyFont="1" applyBorder="1" applyAlignment="1">
      <alignment vertical="center" wrapText="1" shrinkToFit="1"/>
    </xf>
    <xf numFmtId="0" fontId="57" fillId="17" borderId="52" xfId="9" applyFont="1" applyFill="1" applyBorder="1" applyAlignment="1">
      <alignment horizontal="center" vertical="center"/>
    </xf>
    <xf numFmtId="0" fontId="57" fillId="17" borderId="55" xfId="9" applyFont="1" applyFill="1" applyBorder="1" applyAlignment="1">
      <alignment horizontal="center" vertical="center"/>
    </xf>
    <xf numFmtId="0" fontId="57" fillId="17" borderId="58" xfId="9" applyFont="1" applyFill="1" applyBorder="1" applyAlignment="1">
      <alignment horizontal="center" vertical="center"/>
    </xf>
    <xf numFmtId="0" fontId="57" fillId="17" borderId="59" xfId="9" applyFont="1" applyFill="1" applyBorder="1" applyAlignment="1">
      <alignment horizontal="center" vertical="center"/>
    </xf>
    <xf numFmtId="0" fontId="57" fillId="17" borderId="61" xfId="9" applyFont="1" applyFill="1" applyBorder="1" applyAlignment="1">
      <alignment horizontal="center" vertical="center"/>
    </xf>
    <xf numFmtId="0" fontId="57" fillId="17" borderId="101" xfId="9" applyFont="1" applyFill="1" applyBorder="1" applyAlignment="1">
      <alignment horizontal="center" vertical="center"/>
    </xf>
    <xf numFmtId="0" fontId="57" fillId="17" borderId="54" xfId="9" applyFont="1" applyFill="1" applyBorder="1" applyAlignment="1">
      <alignment horizontal="center" vertical="center"/>
    </xf>
    <xf numFmtId="0" fontId="57" fillId="17" borderId="97" xfId="9" applyFont="1" applyFill="1" applyBorder="1" applyAlignment="1">
      <alignment horizontal="center" vertical="center"/>
    </xf>
    <xf numFmtId="0" fontId="57" fillId="17" borderId="80" xfId="9" applyFont="1" applyFill="1" applyBorder="1" applyAlignment="1">
      <alignment horizontal="center" vertical="center"/>
    </xf>
    <xf numFmtId="0" fontId="57" fillId="17" borderId="60" xfId="9" applyFont="1" applyFill="1" applyBorder="1" applyAlignment="1">
      <alignment horizontal="center" vertical="center"/>
    </xf>
    <xf numFmtId="0" fontId="57" fillId="17" borderId="79" xfId="9" applyFont="1" applyFill="1" applyBorder="1" applyAlignment="1">
      <alignment horizontal="center" vertical="center"/>
    </xf>
    <xf numFmtId="0" fontId="57" fillId="17" borderId="83" xfId="9" applyFont="1" applyFill="1" applyBorder="1" applyAlignment="1">
      <alignment horizontal="center" vertical="center"/>
    </xf>
    <xf numFmtId="0" fontId="57" fillId="17" borderId="84" xfId="9" applyFont="1" applyFill="1" applyBorder="1" applyAlignment="1">
      <alignment horizontal="center" vertical="center"/>
    </xf>
    <xf numFmtId="0" fontId="57" fillId="17" borderId="85" xfId="9" applyFont="1" applyFill="1" applyBorder="1" applyAlignment="1">
      <alignment horizontal="center" vertical="center"/>
    </xf>
    <xf numFmtId="0" fontId="57" fillId="17" borderId="105" xfId="9" applyFont="1" applyFill="1" applyBorder="1" applyAlignment="1">
      <alignment horizontal="center" vertical="center"/>
    </xf>
    <xf numFmtId="0" fontId="57" fillId="17" borderId="104" xfId="9" applyFont="1" applyFill="1" applyBorder="1" applyAlignment="1">
      <alignment horizontal="center" vertical="center"/>
    </xf>
    <xf numFmtId="0" fontId="57" fillId="17" borderId="90" xfId="9" applyFont="1" applyFill="1" applyBorder="1" applyAlignment="1">
      <alignment horizontal="center" vertical="center"/>
    </xf>
    <xf numFmtId="0" fontId="57" fillId="17" borderId="103" xfId="9" applyFont="1" applyFill="1" applyBorder="1" applyAlignment="1">
      <alignment horizontal="center" vertical="center"/>
    </xf>
    <xf numFmtId="0" fontId="57" fillId="17" borderId="106" xfId="9" applyFont="1" applyFill="1" applyBorder="1" applyAlignment="1">
      <alignment horizontal="center" vertical="center"/>
    </xf>
    <xf numFmtId="0" fontId="31" fillId="0" borderId="74" xfId="9" applyFont="1" applyBorder="1" applyAlignment="1">
      <alignment vertical="center" wrapText="1"/>
    </xf>
    <xf numFmtId="0" fontId="31" fillId="0" borderId="73" xfId="9" applyFont="1" applyBorder="1">
      <alignment vertical="center"/>
    </xf>
    <xf numFmtId="0" fontId="16" fillId="17" borderId="58" xfId="9" applyFont="1" applyFill="1" applyBorder="1" applyAlignment="1">
      <alignment horizontal="center" vertical="center"/>
    </xf>
    <xf numFmtId="0" fontId="16" fillId="17" borderId="59" xfId="9" applyFont="1" applyFill="1" applyBorder="1" applyAlignment="1">
      <alignment horizontal="center" vertical="center"/>
    </xf>
    <xf numFmtId="0" fontId="16" fillId="17" borderId="61" xfId="9" applyFont="1" applyFill="1" applyBorder="1" applyAlignment="1">
      <alignment horizontal="center" vertical="center"/>
    </xf>
    <xf numFmtId="0" fontId="24" fillId="17" borderId="58" xfId="9" applyFont="1" applyFill="1" applyBorder="1" applyAlignment="1">
      <alignment horizontal="center" vertical="center"/>
    </xf>
    <xf numFmtId="0" fontId="24" fillId="17" borderId="61" xfId="9" applyFont="1" applyFill="1" applyBorder="1" applyAlignment="1">
      <alignment horizontal="center" vertical="center"/>
    </xf>
    <xf numFmtId="0" fontId="15" fillId="0" borderId="82" xfId="9" applyFont="1" applyBorder="1" applyAlignment="1">
      <alignment vertical="center" wrapText="1" shrinkToFit="1"/>
    </xf>
    <xf numFmtId="0" fontId="15" fillId="0" borderId="77" xfId="9" applyFont="1" applyBorder="1" applyAlignment="1">
      <alignment vertical="center" wrapText="1" shrinkToFit="1"/>
    </xf>
    <xf numFmtId="0" fontId="15" fillId="0" borderId="70" xfId="9" applyFont="1" applyBorder="1" applyAlignment="1">
      <alignment vertical="center" wrapText="1" shrinkToFit="1"/>
    </xf>
    <xf numFmtId="0" fontId="57" fillId="17" borderId="67" xfId="9" applyFont="1" applyFill="1" applyBorder="1" applyAlignment="1">
      <alignment horizontal="center" vertical="center"/>
    </xf>
    <xf numFmtId="0" fontId="57" fillId="17" borderId="68" xfId="9" applyFont="1" applyFill="1" applyBorder="1" applyAlignment="1">
      <alignment horizontal="center" vertical="center"/>
    </xf>
    <xf numFmtId="0" fontId="15" fillId="0" borderId="7" xfId="9" applyFont="1" applyBorder="1" applyAlignment="1">
      <alignment vertical="center" wrapText="1" shrinkToFit="1"/>
    </xf>
    <xf numFmtId="0" fontId="15" fillId="0" borderId="11" xfId="9" applyFont="1" applyBorder="1" applyAlignment="1">
      <alignment vertical="center" wrapText="1" shrinkToFit="1"/>
    </xf>
    <xf numFmtId="0" fontId="15" fillId="0" borderId="68" xfId="9" applyFont="1" applyBorder="1" applyAlignment="1">
      <alignment vertical="center" wrapText="1" shrinkToFit="1"/>
    </xf>
    <xf numFmtId="0" fontId="52" fillId="0" borderId="11" xfId="9" applyFont="1" applyBorder="1">
      <alignment vertical="center"/>
    </xf>
    <xf numFmtId="0" fontId="13" fillId="0" borderId="77" xfId="9" applyFont="1" applyBorder="1">
      <alignment vertical="center"/>
    </xf>
    <xf numFmtId="0" fontId="52" fillId="0" borderId="11" xfId="9" applyFont="1" applyBorder="1" applyAlignment="1">
      <alignment vertical="center" wrapText="1"/>
    </xf>
    <xf numFmtId="0" fontId="31" fillId="0" borderId="7" xfId="9" applyFont="1" applyBorder="1" applyAlignment="1">
      <alignment vertical="center" wrapText="1"/>
    </xf>
    <xf numFmtId="0" fontId="31" fillId="0" borderId="11" xfId="9" applyFont="1" applyBorder="1" applyAlignment="1">
      <alignment vertical="center" wrapText="1"/>
    </xf>
    <xf numFmtId="0" fontId="31" fillId="0" borderId="5" xfId="9" applyFont="1" applyBorder="1" applyAlignment="1">
      <alignment vertical="center" wrapText="1"/>
    </xf>
    <xf numFmtId="0" fontId="52" fillId="0" borderId="5" xfId="9" applyFont="1" applyBorder="1" applyAlignment="1">
      <alignment vertical="center" wrapText="1"/>
    </xf>
    <xf numFmtId="0" fontId="57" fillId="17" borderId="78" xfId="9" applyFont="1" applyFill="1" applyBorder="1" applyAlignment="1">
      <alignment horizontal="center" vertical="center"/>
    </xf>
    <xf numFmtId="0" fontId="13" fillId="0" borderId="18" xfId="9" applyFont="1" applyBorder="1" applyAlignment="1">
      <alignment vertical="center" shrinkToFit="1"/>
    </xf>
    <xf numFmtId="0" fontId="15" fillId="0" borderId="74" xfId="9" applyFont="1" applyBorder="1" applyAlignment="1">
      <alignment vertical="center" wrapText="1" shrinkToFit="1"/>
    </xf>
    <xf numFmtId="0" fontId="15" fillId="0" borderId="73" xfId="9" applyFont="1" applyBorder="1" applyAlignment="1">
      <alignment vertical="center" wrapText="1" shrinkToFit="1"/>
    </xf>
    <xf numFmtId="0" fontId="15" fillId="0" borderId="66" xfId="9" applyFont="1" applyBorder="1" applyAlignment="1">
      <alignment vertical="center" wrapText="1" shrinkToFit="1"/>
    </xf>
    <xf numFmtId="0" fontId="13" fillId="0" borderId="7" xfId="9" applyFont="1" applyBorder="1" applyAlignment="1">
      <alignment vertical="center" shrinkToFit="1"/>
    </xf>
    <xf numFmtId="0" fontId="13" fillId="0" borderId="11" xfId="9" applyFont="1" applyBorder="1" applyAlignment="1">
      <alignment vertical="center" shrinkToFit="1"/>
    </xf>
    <xf numFmtId="0" fontId="13" fillId="0" borderId="5" xfId="9" applyFont="1" applyBorder="1" applyAlignment="1">
      <alignment vertical="center" shrinkToFit="1"/>
    </xf>
    <xf numFmtId="0" fontId="57" fillId="17" borderId="75" xfId="9" applyFont="1" applyFill="1" applyBorder="1" applyAlignment="1">
      <alignment horizontal="center" vertical="center"/>
    </xf>
    <xf numFmtId="0" fontId="57" fillId="17" borderId="99" xfId="9" applyFont="1" applyFill="1" applyBorder="1" applyAlignment="1">
      <alignment horizontal="center" vertical="center"/>
    </xf>
    <xf numFmtId="0" fontId="57" fillId="17" borderId="81" xfId="9" applyFont="1" applyFill="1" applyBorder="1" applyAlignment="1">
      <alignment horizontal="center" vertical="center"/>
    </xf>
    <xf numFmtId="0" fontId="57" fillId="17" borderId="6" xfId="9" applyFont="1" applyFill="1" applyBorder="1" applyAlignment="1">
      <alignment horizontal="center" vertical="center" wrapText="1"/>
    </xf>
    <xf numFmtId="0" fontId="57" fillId="17" borderId="20" xfId="9" applyFont="1" applyFill="1" applyBorder="1" applyAlignment="1">
      <alignment horizontal="center" vertical="center" wrapText="1"/>
    </xf>
    <xf numFmtId="0" fontId="75" fillId="17" borderId="56" xfId="9" applyFont="1" applyFill="1" applyBorder="1" applyAlignment="1">
      <alignment horizontal="center" vertical="center" wrapText="1"/>
    </xf>
    <xf numFmtId="0" fontId="75" fillId="17" borderId="6" xfId="9" applyFont="1" applyFill="1" applyBorder="1" applyAlignment="1">
      <alignment horizontal="center" vertical="center" wrapText="1"/>
    </xf>
    <xf numFmtId="0" fontId="75" fillId="17" borderId="58" xfId="9" applyFont="1" applyFill="1" applyBorder="1" applyAlignment="1">
      <alignment horizontal="center" vertical="center" wrapText="1"/>
    </xf>
    <xf numFmtId="0" fontId="75" fillId="17" borderId="59" xfId="9" applyFont="1" applyFill="1" applyBorder="1" applyAlignment="1">
      <alignment horizontal="center" vertical="center" wrapText="1"/>
    </xf>
    <xf numFmtId="0" fontId="57" fillId="17" borderId="6" xfId="9" applyFont="1" applyFill="1" applyBorder="1" applyAlignment="1">
      <alignment horizontal="center" vertical="center"/>
    </xf>
    <xf numFmtId="0" fontId="13" fillId="0" borderId="82" xfId="9" applyFont="1" applyBorder="1" applyAlignment="1">
      <alignment vertical="center" shrinkToFit="1"/>
    </xf>
    <xf numFmtId="0" fontId="13" fillId="0" borderId="77" xfId="9" applyFont="1" applyBorder="1" applyAlignment="1">
      <alignment vertical="center" shrinkToFit="1"/>
    </xf>
    <xf numFmtId="0" fontId="13" fillId="0" borderId="78" xfId="9" applyFont="1" applyBorder="1" applyAlignment="1">
      <alignment vertical="center" shrinkToFit="1"/>
    </xf>
    <xf numFmtId="0" fontId="75" fillId="17" borderId="52" xfId="9" applyFont="1" applyFill="1" applyBorder="1" applyAlignment="1">
      <alignment horizontal="center" vertical="center"/>
    </xf>
    <xf numFmtId="0" fontId="75" fillId="17" borderId="92" xfId="9" applyFont="1" applyFill="1" applyBorder="1" applyAlignment="1">
      <alignment horizontal="center" vertical="center"/>
    </xf>
    <xf numFmtId="0" fontId="75" fillId="17" borderId="58" xfId="9" applyFont="1" applyFill="1" applyBorder="1" applyAlignment="1">
      <alignment horizontal="center" vertical="center"/>
    </xf>
    <xf numFmtId="0" fontId="13" fillId="0" borderId="69" xfId="9" applyFont="1" applyBorder="1" applyAlignment="1">
      <alignment vertical="center" wrapText="1"/>
    </xf>
    <xf numFmtId="0" fontId="13" fillId="0" borderId="77" xfId="9" applyFont="1" applyBorder="1" applyAlignment="1">
      <alignment vertical="center" wrapText="1"/>
    </xf>
    <xf numFmtId="0" fontId="13" fillId="0" borderId="78" xfId="9" applyFont="1" applyBorder="1" applyAlignment="1">
      <alignment vertical="center" wrapText="1"/>
    </xf>
    <xf numFmtId="0" fontId="13" fillId="0" borderId="82" xfId="9" applyFont="1" applyBorder="1" applyAlignment="1">
      <alignment vertical="center" wrapText="1"/>
    </xf>
    <xf numFmtId="0" fontId="15" fillId="0" borderId="15" xfId="9" applyFont="1" applyBorder="1" applyAlignment="1">
      <alignment vertical="center" wrapText="1" shrinkToFit="1"/>
    </xf>
    <xf numFmtId="0" fontId="15" fillId="0" borderId="13" xfId="9" applyFont="1" applyBorder="1" applyAlignment="1">
      <alignment vertical="center" wrapText="1" shrinkToFit="1"/>
    </xf>
    <xf numFmtId="0" fontId="15" fillId="0" borderId="76" xfId="9" applyFont="1" applyBorder="1" applyAlignment="1">
      <alignment vertical="center" wrapText="1" shrinkToFit="1"/>
    </xf>
    <xf numFmtId="0" fontId="13" fillId="0" borderId="91" xfId="9" applyFont="1" applyBorder="1" applyAlignment="1">
      <alignment vertical="center" wrapText="1"/>
    </xf>
    <xf numFmtId="0" fontId="13" fillId="0" borderId="13" xfId="9" applyFont="1" applyBorder="1" applyAlignment="1">
      <alignment vertical="center" wrapText="1"/>
    </xf>
    <xf numFmtId="0" fontId="13" fillId="0" borderId="8" xfId="9" applyFont="1" applyBorder="1" applyAlignment="1">
      <alignment vertical="center" wrapText="1"/>
    </xf>
    <xf numFmtId="0" fontId="13" fillId="0" borderId="15" xfId="9" applyFont="1" applyBorder="1" applyAlignment="1">
      <alignment vertical="center" wrapText="1"/>
    </xf>
    <xf numFmtId="0" fontId="52" fillId="17" borderId="20" xfId="0" applyFont="1" applyFill="1" applyBorder="1" applyAlignment="1">
      <alignment horizontal="center" vertical="center" wrapText="1"/>
    </xf>
    <xf numFmtId="0" fontId="52" fillId="17" borderId="109" xfId="0" applyFont="1" applyFill="1" applyBorder="1" applyAlignment="1">
      <alignment horizontal="center" vertical="center" wrapText="1"/>
    </xf>
    <xf numFmtId="0" fontId="52" fillId="17" borderId="6" xfId="0" applyFont="1" applyFill="1" applyBorder="1" applyAlignment="1">
      <alignment horizontal="center" vertical="center" wrapText="1"/>
    </xf>
    <xf numFmtId="0" fontId="52" fillId="17" borderId="57" xfId="0" applyFont="1" applyFill="1" applyBorder="1" applyAlignment="1">
      <alignment horizontal="center" vertical="center" wrapText="1"/>
    </xf>
    <xf numFmtId="0" fontId="57" fillId="17" borderId="98" xfId="9" applyFont="1" applyFill="1" applyBorder="1" applyAlignment="1">
      <alignment horizontal="center" vertical="center"/>
    </xf>
    <xf numFmtId="0" fontId="57" fillId="17" borderId="88" xfId="9" applyFont="1" applyFill="1" applyBorder="1" applyAlignment="1">
      <alignment horizontal="center" vertical="center"/>
    </xf>
    <xf numFmtId="0" fontId="57" fillId="17" borderId="53" xfId="9" applyFont="1" applyFill="1" applyBorder="1" applyAlignment="1">
      <alignment horizontal="center" vertical="center" wrapText="1"/>
    </xf>
    <xf numFmtId="0" fontId="13" fillId="0" borderId="67" xfId="9" applyFont="1" applyBorder="1" applyAlignment="1">
      <alignment vertical="center" wrapText="1"/>
    </xf>
    <xf numFmtId="0" fontId="13" fillId="0" borderId="11" xfId="9" applyFont="1" applyBorder="1" applyAlignment="1">
      <alignment vertical="center" wrapText="1"/>
    </xf>
    <xf numFmtId="0" fontId="13" fillId="0" borderId="5" xfId="9" applyFont="1" applyBorder="1" applyAlignment="1">
      <alignment vertical="center" wrapText="1"/>
    </xf>
    <xf numFmtId="0" fontId="13" fillId="0" borderId="7" xfId="9" applyFont="1" applyBorder="1" applyAlignment="1">
      <alignment vertical="center" wrapText="1"/>
    </xf>
    <xf numFmtId="0" fontId="57" fillId="17" borderId="93" xfId="9" applyFont="1" applyFill="1" applyBorder="1" applyAlignment="1">
      <alignment horizontal="center" vertical="center"/>
    </xf>
    <xf numFmtId="0" fontId="57" fillId="17" borderId="94" xfId="9" applyFont="1" applyFill="1" applyBorder="1" applyAlignment="1">
      <alignment horizontal="center" vertical="center"/>
    </xf>
    <xf numFmtId="0" fontId="13" fillId="0" borderId="65" xfId="9" applyFont="1" applyBorder="1" applyAlignment="1">
      <alignment vertical="center" wrapText="1"/>
    </xf>
    <xf numFmtId="0" fontId="13" fillId="0" borderId="73" xfId="9" applyFont="1" applyBorder="1" applyAlignment="1">
      <alignment vertical="center" wrapText="1"/>
    </xf>
    <xf numFmtId="0" fontId="13" fillId="0" borderId="75" xfId="9" applyFont="1" applyBorder="1" applyAlignment="1">
      <alignment vertical="center" wrapText="1"/>
    </xf>
    <xf numFmtId="0" fontId="13" fillId="0" borderId="74" xfId="9" applyFont="1" applyBorder="1" applyAlignment="1">
      <alignment vertical="center" wrapText="1"/>
    </xf>
    <xf numFmtId="0" fontId="57" fillId="17" borderId="11" xfId="9" applyFont="1" applyFill="1" applyBorder="1" applyAlignment="1">
      <alignment horizontal="center" vertical="center"/>
    </xf>
    <xf numFmtId="0" fontId="57" fillId="17" borderId="69" xfId="9" applyFont="1" applyFill="1" applyBorder="1" applyAlignment="1">
      <alignment horizontal="center" vertical="center"/>
    </xf>
    <xf numFmtId="0" fontId="13" fillId="0" borderId="65" xfId="9" applyFont="1" applyBorder="1">
      <alignment vertical="center"/>
    </xf>
    <xf numFmtId="0" fontId="13" fillId="0" borderId="73" xfId="9" applyFont="1" applyBorder="1">
      <alignment vertical="center"/>
    </xf>
    <xf numFmtId="0" fontId="13" fillId="0" borderId="66" xfId="9" applyFont="1" applyBorder="1">
      <alignment vertical="center"/>
    </xf>
    <xf numFmtId="0" fontId="13" fillId="0" borderId="67" xfId="9" applyFont="1" applyBorder="1">
      <alignment vertical="center"/>
    </xf>
    <xf numFmtId="0" fontId="13" fillId="0" borderId="11" xfId="9" applyFont="1" applyBorder="1">
      <alignment vertical="center"/>
    </xf>
    <xf numFmtId="0" fontId="13" fillId="0" borderId="68" xfId="9" applyFont="1" applyBorder="1">
      <alignment vertical="center"/>
    </xf>
    <xf numFmtId="0" fontId="52" fillId="0" borderId="77" xfId="9" applyFont="1" applyBorder="1" applyAlignment="1">
      <alignment vertical="center" wrapText="1" shrinkToFit="1"/>
    </xf>
    <xf numFmtId="0" fontId="52" fillId="0" borderId="70" xfId="9" applyFont="1" applyBorder="1" applyAlignment="1">
      <alignment vertical="center" wrapText="1" shrinkToFit="1"/>
    </xf>
    <xf numFmtId="31" fontId="13" fillId="0" borderId="65" xfId="9" applyNumberFormat="1" applyFont="1" applyBorder="1">
      <alignment vertical="center"/>
    </xf>
    <xf numFmtId="31" fontId="13" fillId="0" borderId="73" xfId="9" applyNumberFormat="1" applyFont="1" applyBorder="1">
      <alignment vertical="center"/>
    </xf>
    <xf numFmtId="31" fontId="13" fillId="0" borderId="66" xfId="9" applyNumberFormat="1" applyFont="1" applyBorder="1">
      <alignment vertical="center"/>
    </xf>
    <xf numFmtId="0" fontId="13" fillId="0" borderId="69" xfId="9" applyFont="1" applyBorder="1">
      <alignment vertical="center"/>
    </xf>
    <xf numFmtId="0" fontId="13" fillId="0" borderId="70" xfId="9" applyFont="1" applyBorder="1">
      <alignment vertical="center"/>
    </xf>
    <xf numFmtId="2" fontId="51" fillId="0" borderId="34" xfId="0" applyNumberFormat="1" applyFont="1" applyBorder="1" applyAlignment="1">
      <alignment horizontal="center" vertical="top" shrinkToFit="1"/>
    </xf>
    <xf numFmtId="0" fontId="49" fillId="11" borderId="2" xfId="0" applyFont="1" applyFill="1" applyBorder="1" applyAlignment="1">
      <alignment horizontal="center" vertical="top" wrapText="1"/>
    </xf>
    <xf numFmtId="0" fontId="42" fillId="9" borderId="21" xfId="0" applyFont="1" applyFill="1" applyBorder="1" applyAlignment="1">
      <alignment horizontal="center" vertical="top" wrapText="1"/>
    </xf>
    <xf numFmtId="0" fontId="27" fillId="10" borderId="24" xfId="0" applyFont="1" applyFill="1" applyBorder="1" applyAlignment="1">
      <alignment horizontal="left" vertical="center" wrapText="1"/>
    </xf>
    <xf numFmtId="0" fontId="27" fillId="10" borderId="22" xfId="0" applyFont="1" applyFill="1" applyBorder="1" applyAlignment="1">
      <alignment horizontal="left" vertical="center" wrapText="1"/>
    </xf>
    <xf numFmtId="0" fontId="27" fillId="0" borderId="24" xfId="0" applyFont="1" applyBorder="1" applyAlignment="1">
      <alignment vertical="center" wrapText="1"/>
    </xf>
    <xf numFmtId="0" fontId="27" fillId="0" borderId="22" xfId="0" applyFont="1" applyBorder="1" applyAlignment="1">
      <alignment vertical="center" wrapText="1"/>
    </xf>
    <xf numFmtId="0" fontId="27" fillId="10" borderId="23" xfId="0" applyFont="1" applyFill="1" applyBorder="1" applyAlignment="1">
      <alignment horizontal="left" vertical="top" wrapText="1"/>
    </xf>
    <xf numFmtId="0" fontId="27" fillId="10" borderId="21" xfId="0" applyFont="1" applyFill="1" applyBorder="1" applyAlignment="1">
      <alignment horizontal="left" vertical="top" wrapText="1"/>
    </xf>
    <xf numFmtId="0" fontId="42" fillId="0" borderId="23" xfId="0" applyFont="1" applyBorder="1" applyAlignment="1">
      <alignment vertical="top" wrapText="1"/>
    </xf>
    <xf numFmtId="0" fontId="42" fillId="0" borderId="21" xfId="0" applyFont="1" applyBorder="1" applyAlignment="1">
      <alignment vertical="top" wrapText="1"/>
    </xf>
    <xf numFmtId="0" fontId="42" fillId="0" borderId="24" xfId="0" applyFont="1" applyBorder="1" applyAlignment="1">
      <alignment horizontal="left" vertical="top" wrapText="1"/>
    </xf>
    <xf numFmtId="0" fontId="42" fillId="0" borderId="22" xfId="0" applyFont="1" applyBorder="1" applyAlignment="1">
      <alignment horizontal="left" vertical="top" wrapText="1"/>
    </xf>
    <xf numFmtId="0" fontId="27" fillId="0" borderId="25" xfId="0" applyFont="1" applyBorder="1" applyAlignment="1">
      <alignment vertical="center" wrapText="1"/>
    </xf>
    <xf numFmtId="0" fontId="27" fillId="0" borderId="28" xfId="0" applyFont="1" applyBorder="1" applyAlignment="1">
      <alignment vertical="center" wrapText="1"/>
    </xf>
    <xf numFmtId="0" fontId="42" fillId="0" borderId="25" xfId="0" applyFont="1" applyBorder="1" applyAlignment="1">
      <alignment horizontal="left" vertical="top" wrapText="1"/>
    </xf>
    <xf numFmtId="0" fontId="42" fillId="0" borderId="28" xfId="0" applyFont="1" applyBorder="1" applyAlignment="1">
      <alignment horizontal="left" vertical="top" wrapText="1"/>
    </xf>
    <xf numFmtId="0" fontId="27" fillId="10" borderId="25" xfId="0" applyFont="1" applyFill="1" applyBorder="1" applyAlignment="1">
      <alignment horizontal="left" vertical="center" wrapText="1"/>
    </xf>
    <xf numFmtId="0" fontId="27" fillId="10" borderId="28" xfId="0" applyFont="1" applyFill="1" applyBorder="1" applyAlignment="1">
      <alignment horizontal="left" vertical="center" wrapText="1"/>
    </xf>
    <xf numFmtId="0" fontId="42" fillId="0" borderId="33" xfId="0" applyFont="1" applyBorder="1" applyAlignment="1">
      <alignment vertical="top" wrapText="1"/>
    </xf>
    <xf numFmtId="0" fontId="42" fillId="0" borderId="35" xfId="0" applyFont="1" applyBorder="1" applyAlignment="1">
      <alignment vertical="top" wrapText="1"/>
    </xf>
    <xf numFmtId="2" fontId="51" fillId="0" borderId="25" xfId="0" applyNumberFormat="1" applyFont="1" applyBorder="1" applyAlignment="1">
      <alignment horizontal="center" vertical="top" shrinkToFit="1"/>
    </xf>
    <xf numFmtId="2" fontId="51" fillId="0" borderId="28" xfId="0" applyNumberFormat="1" applyFont="1" applyBorder="1" applyAlignment="1">
      <alignment horizontal="center" vertical="top" shrinkToFit="1"/>
    </xf>
    <xf numFmtId="0" fontId="51" fillId="9" borderId="21" xfId="0" applyFont="1" applyFill="1" applyBorder="1" applyAlignment="1">
      <alignment vertical="top" wrapText="1"/>
    </xf>
    <xf numFmtId="0" fontId="51" fillId="10" borderId="23" xfId="0" applyFont="1" applyFill="1" applyBorder="1" applyAlignment="1">
      <alignment vertical="top" wrapText="1"/>
    </xf>
    <xf numFmtId="2" fontId="51" fillId="0" borderId="26" xfId="0" applyNumberFormat="1" applyFont="1" applyBorder="1" applyAlignment="1">
      <alignment horizontal="center" vertical="top" shrinkToFit="1"/>
    </xf>
    <xf numFmtId="0" fontId="42" fillId="0" borderId="25" xfId="0" applyFont="1" applyBorder="1" applyAlignment="1">
      <alignment vertical="top" wrapText="1"/>
    </xf>
    <xf numFmtId="0" fontId="42" fillId="0" borderId="28" xfId="0" applyFont="1" applyBorder="1" applyAlignment="1">
      <alignment vertical="top" wrapText="1"/>
    </xf>
    <xf numFmtId="0" fontId="42" fillId="0" borderId="24" xfId="0" applyFont="1" applyBorder="1" applyAlignment="1">
      <alignment vertical="top" wrapText="1"/>
    </xf>
    <xf numFmtId="0" fontId="42" fillId="0" borderId="22" xfId="0" applyFont="1" applyBorder="1" applyAlignment="1">
      <alignment vertical="top" wrapText="1"/>
    </xf>
    <xf numFmtId="0" fontId="27" fillId="0" borderId="25" xfId="0" applyFont="1" applyBorder="1" applyAlignment="1">
      <alignment horizontal="left" vertical="top" wrapText="1"/>
    </xf>
    <xf numFmtId="0" fontId="27" fillId="0" borderId="28" xfId="0" applyFont="1" applyBorder="1" applyAlignment="1">
      <alignment horizontal="left" vertical="top" wrapText="1"/>
    </xf>
    <xf numFmtId="0" fontId="27" fillId="0" borderId="24" xfId="0" applyFont="1" applyBorder="1" applyAlignment="1">
      <alignment horizontal="left" vertical="top" wrapText="1"/>
    </xf>
    <xf numFmtId="0" fontId="27" fillId="0" borderId="22" xfId="0" applyFont="1" applyBorder="1" applyAlignment="1">
      <alignment horizontal="left" vertical="top" wrapText="1"/>
    </xf>
    <xf numFmtId="0" fontId="27" fillId="10" borderId="25" xfId="0" applyFont="1" applyFill="1" applyBorder="1" applyAlignment="1">
      <alignment horizontal="left" vertical="top" wrapText="1"/>
    </xf>
    <xf numFmtId="0" fontId="27" fillId="10" borderId="28" xfId="0" applyFont="1" applyFill="1" applyBorder="1" applyAlignment="1">
      <alignment horizontal="left" vertical="top" wrapText="1"/>
    </xf>
    <xf numFmtId="0" fontId="27" fillId="10" borderId="24" xfId="0" applyFont="1" applyFill="1" applyBorder="1" applyAlignment="1">
      <alignment horizontal="left" vertical="top" wrapText="1"/>
    </xf>
    <xf numFmtId="0" fontId="27" fillId="10" borderId="22" xfId="0" applyFont="1" applyFill="1" applyBorder="1" applyAlignment="1">
      <alignment horizontal="left" vertical="top" wrapText="1"/>
    </xf>
    <xf numFmtId="0" fontId="51" fillId="9" borderId="21" xfId="0" applyFont="1" applyFill="1" applyBorder="1" applyAlignment="1">
      <alignment horizontal="left" vertical="top" wrapText="1"/>
    </xf>
    <xf numFmtId="0" fontId="27" fillId="0" borderId="23" xfId="0" applyFont="1" applyBorder="1" applyAlignment="1">
      <alignment horizontal="left" vertical="top" wrapText="1"/>
    </xf>
    <xf numFmtId="0" fontId="27" fillId="0" borderId="21" xfId="0" applyFont="1" applyBorder="1" applyAlignment="1">
      <alignment horizontal="left" vertical="top" wrapText="1"/>
    </xf>
    <xf numFmtId="0" fontId="27" fillId="0" borderId="23" xfId="0" applyFont="1" applyBorder="1" applyAlignment="1">
      <alignment vertical="center" wrapText="1"/>
    </xf>
    <xf numFmtId="0" fontId="27" fillId="0" borderId="21" xfId="0" applyFont="1" applyBorder="1" applyAlignment="1">
      <alignment vertical="center" wrapText="1"/>
    </xf>
    <xf numFmtId="0" fontId="27" fillId="0" borderId="24" xfId="0" applyFont="1" applyBorder="1" applyAlignment="1">
      <alignment horizontal="left" vertical="center" wrapText="1"/>
    </xf>
    <xf numFmtId="0" fontId="27" fillId="0" borderId="22" xfId="0" applyFont="1" applyBorder="1" applyAlignment="1">
      <alignment horizontal="left" vertical="center" wrapText="1"/>
    </xf>
    <xf numFmtId="0" fontId="42" fillId="0" borderId="23" xfId="0" applyFont="1" applyBorder="1" applyAlignment="1">
      <alignment horizontal="left" vertical="top" wrapText="1"/>
    </xf>
    <xf numFmtId="0" fontId="42" fillId="0" borderId="21" xfId="0" applyFont="1" applyBorder="1" applyAlignment="1">
      <alignment horizontal="left" vertical="top" wrapText="1"/>
    </xf>
    <xf numFmtId="0" fontId="27" fillId="0" borderId="25" xfId="0" applyFont="1" applyBorder="1" applyAlignment="1">
      <alignment horizontal="left" vertical="center" wrapText="1"/>
    </xf>
    <xf numFmtId="0" fontId="27" fillId="0" borderId="28" xfId="0" applyFont="1" applyBorder="1" applyAlignment="1">
      <alignment horizontal="left" vertical="center" wrapText="1"/>
    </xf>
    <xf numFmtId="0" fontId="51" fillId="10" borderId="25" xfId="0" applyFont="1" applyFill="1" applyBorder="1" applyAlignment="1">
      <alignment horizontal="left" vertical="top" wrapText="1"/>
    </xf>
    <xf numFmtId="0" fontId="27" fillId="10" borderId="23" xfId="0" applyFont="1" applyFill="1" applyBorder="1" applyAlignment="1">
      <alignment horizontal="left" vertical="center" wrapText="1"/>
    </xf>
    <xf numFmtId="0" fontId="27" fillId="10" borderId="21" xfId="0" applyFont="1" applyFill="1" applyBorder="1" applyAlignment="1">
      <alignment horizontal="left" vertical="center" wrapText="1"/>
    </xf>
    <xf numFmtId="0" fontId="51" fillId="0" borderId="24" xfId="0" applyFont="1" applyBorder="1" applyAlignment="1">
      <alignment vertical="top" wrapText="1"/>
    </xf>
    <xf numFmtId="0" fontId="42" fillId="11" borderId="0" xfId="0" applyFont="1" applyFill="1" applyAlignment="1">
      <alignment horizontal="left" vertical="top" wrapText="1"/>
    </xf>
    <xf numFmtId="0" fontId="49" fillId="11" borderId="0" xfId="0" applyFont="1" applyFill="1" applyAlignment="1">
      <alignment horizontal="left" vertical="top" wrapText="1"/>
    </xf>
    <xf numFmtId="0" fontId="27" fillId="11" borderId="0" xfId="0" applyFont="1" applyFill="1" applyAlignment="1">
      <alignment horizontal="left" vertical="top" wrapText="1"/>
    </xf>
    <xf numFmtId="0" fontId="31" fillId="9" borderId="25" xfId="0" applyFont="1" applyFill="1" applyBorder="1" applyAlignment="1">
      <alignment vertical="center" wrapText="1"/>
    </xf>
    <xf numFmtId="0" fontId="31" fillId="9" borderId="26" xfId="0" applyFont="1" applyFill="1" applyBorder="1" applyAlignment="1">
      <alignment vertical="center" wrapText="1"/>
    </xf>
    <xf numFmtId="0" fontId="31" fillId="9" borderId="28" xfId="0" applyFont="1" applyFill="1" applyBorder="1" applyAlignment="1">
      <alignment vertical="center" wrapText="1"/>
    </xf>
    <xf numFmtId="0" fontId="31" fillId="9" borderId="24" xfId="0" applyFont="1" applyFill="1" applyBorder="1" applyAlignment="1">
      <alignment vertical="center" wrapText="1"/>
    </xf>
    <xf numFmtId="0" fontId="31" fillId="9" borderId="39" xfId="0" applyFont="1" applyFill="1" applyBorder="1" applyAlignment="1">
      <alignment vertical="center" wrapText="1"/>
    </xf>
    <xf numFmtId="0" fontId="31" fillId="9" borderId="22" xfId="0" applyFont="1" applyFill="1" applyBorder="1" applyAlignment="1">
      <alignment vertical="center" wrapText="1"/>
    </xf>
    <xf numFmtId="0" fontId="31" fillId="9" borderId="23" xfId="0" applyFont="1" applyFill="1" applyBorder="1" applyAlignment="1">
      <alignment vertical="center" wrapText="1"/>
    </xf>
    <xf numFmtId="0" fontId="31" fillId="9" borderId="0" xfId="0" applyFont="1" applyFill="1" applyAlignment="1">
      <alignment vertical="center" wrapText="1"/>
    </xf>
    <xf numFmtId="0" fontId="31" fillId="9" borderId="21" xfId="0" applyFont="1" applyFill="1" applyBorder="1" applyAlignment="1">
      <alignment vertical="center" wrapText="1"/>
    </xf>
    <xf numFmtId="0" fontId="31" fillId="9" borderId="36" xfId="0" applyFont="1" applyFill="1" applyBorder="1" applyAlignment="1">
      <alignment vertical="center" wrapText="1"/>
    </xf>
    <xf numFmtId="0" fontId="31" fillId="9" borderId="37" xfId="0" applyFont="1" applyFill="1" applyBorder="1" applyAlignment="1">
      <alignment vertical="center" wrapText="1"/>
    </xf>
    <xf numFmtId="0" fontId="31" fillId="9" borderId="38" xfId="0" applyFont="1" applyFill="1" applyBorder="1" applyAlignment="1">
      <alignment vertical="center" wrapText="1"/>
    </xf>
    <xf numFmtId="0" fontId="15" fillId="12" borderId="36" xfId="2" applyFont="1" applyFill="1" applyBorder="1">
      <alignment vertical="center"/>
    </xf>
    <xf numFmtId="0" fontId="15" fillId="12" borderId="37" xfId="2" applyFont="1" applyFill="1" applyBorder="1">
      <alignment vertical="center"/>
    </xf>
    <xf numFmtId="0" fontId="15" fillId="12" borderId="38" xfId="2" applyFont="1" applyFill="1" applyBorder="1">
      <alignment vertical="center"/>
    </xf>
    <xf numFmtId="0" fontId="0" fillId="0" borderId="37" xfId="0" applyBorder="1" applyAlignment="1">
      <alignment vertical="center"/>
    </xf>
    <xf numFmtId="0" fontId="0" fillId="0" borderId="38" xfId="0" applyBorder="1" applyAlignment="1">
      <alignment vertical="center"/>
    </xf>
    <xf numFmtId="0" fontId="15" fillId="12" borderId="25" xfId="2" applyFont="1" applyFill="1" applyBorder="1">
      <alignment vertical="center"/>
    </xf>
    <xf numFmtId="0" fontId="36" fillId="11" borderId="0" xfId="0" applyFont="1" applyFill="1" applyAlignment="1">
      <alignment horizontal="center" vertical="center" wrapText="1"/>
    </xf>
    <xf numFmtId="0" fontId="36" fillId="11" borderId="2" xfId="0" applyFont="1" applyFill="1" applyBorder="1" applyAlignment="1">
      <alignment horizontal="center" vertical="center" wrapText="1"/>
    </xf>
    <xf numFmtId="0" fontId="34" fillId="9" borderId="36" xfId="0" applyFont="1" applyFill="1" applyBorder="1" applyAlignment="1">
      <alignment horizontal="center" vertical="center" wrapText="1"/>
    </xf>
    <xf numFmtId="0" fontId="34" fillId="9" borderId="37" xfId="0" applyFont="1" applyFill="1" applyBorder="1" applyAlignment="1">
      <alignment horizontal="center" vertical="center" wrapText="1"/>
    </xf>
    <xf numFmtId="0" fontId="34" fillId="9" borderId="38" xfId="0" applyFont="1" applyFill="1" applyBorder="1" applyAlignment="1">
      <alignment horizontal="center" vertical="center" wrapText="1"/>
    </xf>
    <xf numFmtId="0" fontId="31" fillId="10" borderId="25" xfId="0" applyFont="1" applyFill="1" applyBorder="1" applyAlignment="1">
      <alignment vertical="center" wrapText="1"/>
    </xf>
    <xf numFmtId="0" fontId="31" fillId="10" borderId="28" xfId="0" applyFont="1" applyFill="1" applyBorder="1" applyAlignment="1">
      <alignment vertical="center" wrapText="1"/>
    </xf>
    <xf numFmtId="0" fontId="31" fillId="10" borderId="23" xfId="0" applyFont="1" applyFill="1" applyBorder="1" applyAlignment="1">
      <alignment vertical="center" wrapText="1"/>
    </xf>
    <xf numFmtId="0" fontId="31" fillId="10" borderId="21" xfId="0" applyFont="1" applyFill="1" applyBorder="1" applyAlignment="1">
      <alignment vertical="center" wrapText="1"/>
    </xf>
    <xf numFmtId="0" fontId="31" fillId="10" borderId="24" xfId="0" applyFont="1" applyFill="1" applyBorder="1" applyAlignment="1">
      <alignment vertical="center" wrapText="1"/>
    </xf>
    <xf numFmtId="0" fontId="31" fillId="10" borderId="22" xfId="0" applyFont="1" applyFill="1" applyBorder="1" applyAlignment="1">
      <alignment vertical="center" wrapText="1"/>
    </xf>
    <xf numFmtId="0" fontId="13" fillId="0" borderId="7" xfId="0" applyFont="1" applyBorder="1" applyAlignment="1">
      <alignment horizontal="center" vertical="center"/>
    </xf>
    <xf numFmtId="0" fontId="13" fillId="0" borderId="5" xfId="0" applyFont="1" applyBorder="1" applyAlignment="1">
      <alignment horizontal="center" vertical="center"/>
    </xf>
    <xf numFmtId="0" fontId="13" fillId="16" borderId="20" xfId="0" applyFont="1" applyFill="1" applyBorder="1" applyAlignment="1">
      <alignment horizontal="center" vertical="center"/>
    </xf>
    <xf numFmtId="0" fontId="13" fillId="16" borderId="18" xfId="0" applyFont="1" applyFill="1" applyBorder="1" applyAlignment="1">
      <alignment horizontal="center" vertical="center"/>
    </xf>
    <xf numFmtId="0" fontId="25" fillId="2" borderId="11" xfId="0" applyFont="1" applyFill="1" applyBorder="1" applyAlignment="1" applyProtection="1">
      <alignment vertical="center"/>
      <protection locked="0"/>
    </xf>
    <xf numFmtId="0" fontId="31" fillId="16" borderId="6" xfId="7" applyFont="1" applyFill="1" applyBorder="1" applyAlignment="1">
      <alignment horizontal="center" vertical="center" wrapText="1"/>
    </xf>
    <xf numFmtId="0" fontId="31" fillId="16" borderId="20" xfId="7" applyFont="1" applyFill="1" applyBorder="1" applyAlignment="1">
      <alignment horizontal="center" vertical="center" wrapText="1"/>
    </xf>
    <xf numFmtId="0" fontId="31" fillId="16" borderId="18" xfId="7" applyFont="1" applyFill="1" applyBorder="1" applyAlignment="1">
      <alignment horizontal="center" vertical="center" wrapText="1"/>
    </xf>
  </cellXfs>
  <cellStyles count="34">
    <cellStyle name="標準" xfId="0" builtinId="0"/>
    <cellStyle name="標準 15" xfId="3" xr:uid="{26BA2A3B-F32F-4533-ACBD-13AE5B841BD2}"/>
    <cellStyle name="標準 15 2" xfId="12" xr:uid="{C5386F11-2A3C-4DDF-92DB-4BE0DB090FEC}"/>
    <cellStyle name="標準 15 2 2" xfId="28" xr:uid="{6C10CD14-BC6B-4C3F-8FEB-E9A9FA77095D}"/>
    <cellStyle name="標準 15 3" xfId="20" xr:uid="{8950A835-5E64-4EF3-98B7-0ADE718B1502}"/>
    <cellStyle name="標準 2" xfId="1" xr:uid="{B848B135-7571-4402-8797-9BD096EA342C}"/>
    <cellStyle name="標準 2 2" xfId="4" xr:uid="{650DFBFF-6B63-468F-9806-E41400E0ADDF}"/>
    <cellStyle name="標準 2 2 2" xfId="5" xr:uid="{1383DDAA-D885-4EAD-8540-511BD39F0B10}"/>
    <cellStyle name="標準 2 2 2 2" xfId="6" xr:uid="{AB661033-14E9-4B7E-BD2B-6CBC5793D77C}"/>
    <cellStyle name="標準 2 2 2 2 2" xfId="8" xr:uid="{DBACDB14-EAA8-4262-B49D-6FEB190AABBB}"/>
    <cellStyle name="標準 2 2 2 2 2 2" xfId="16" xr:uid="{9AE22289-E229-468D-B6DF-4C499B60FC08}"/>
    <cellStyle name="標準 2 2 2 2 2 2 2" xfId="32" xr:uid="{1E8C0C0C-6CCC-492C-82B0-F5D9E37D6484}"/>
    <cellStyle name="標準 2 2 2 2 2 3" xfId="24" xr:uid="{E9F54B03-56AE-474C-86EF-5DF778FD49C9}"/>
    <cellStyle name="標準 2 2 2 2 3" xfId="9" xr:uid="{1ADFC04C-9BB1-4BFF-A223-FC3F977929CB}"/>
    <cellStyle name="標準 2 2 2 2 3 2" xfId="17" xr:uid="{7ED7575B-F81E-4EF4-90B7-CCC0904EE219}"/>
    <cellStyle name="標準 2 2 2 2 3 2 2" xfId="33" xr:uid="{18A5ADD2-E7D8-45F9-9823-3426701064C5}"/>
    <cellStyle name="標準 2 2 2 2 3 3" xfId="25" xr:uid="{615D4A4B-B125-459B-91F4-D9242F8DE9A8}"/>
    <cellStyle name="標準 2 2 2 2 4" xfId="15" xr:uid="{09F0909D-641E-48FE-AFBD-88EC8B10E504}"/>
    <cellStyle name="標準 2 2 2 2 4 2" xfId="31" xr:uid="{F88995E6-FC95-407C-B112-8020E4A00445}"/>
    <cellStyle name="標準 2 2 2 2 5" xfId="23" xr:uid="{555A9A8D-7F57-4287-B1EA-D3774B86A6D6}"/>
    <cellStyle name="標準 2 2 2 3" xfId="14" xr:uid="{7EF8FE28-B9E7-49B4-A393-F18EDEA29C66}"/>
    <cellStyle name="標準 2 2 2 3 2" xfId="30" xr:uid="{66DD8718-1B7D-4135-B3AD-BDC45C0DA571}"/>
    <cellStyle name="標準 2 2 2 4" xfId="22" xr:uid="{A73DC09E-8C79-41BA-A0E3-2C536BA041C9}"/>
    <cellStyle name="標準 2 2 3" xfId="13" xr:uid="{27B5030A-7150-48FE-BAEA-2AE6D6E9601F}"/>
    <cellStyle name="標準 2 2 3 2" xfId="29" xr:uid="{4604ACE2-4B9B-49BC-B7FF-50F477C33968}"/>
    <cellStyle name="標準 2 2 4" xfId="21" xr:uid="{D91B97DC-9302-425B-82EA-1719E4D0C2DB}"/>
    <cellStyle name="標準 2 3" xfId="10" xr:uid="{FB8C094A-7381-405B-AD45-8EA538983263}"/>
    <cellStyle name="標準 2 3 2" xfId="26" xr:uid="{3BA62B3E-F662-4ED1-AFF4-E87700361563}"/>
    <cellStyle name="標準 2 4" xfId="18" xr:uid="{5A5440EC-A49D-4103-9D1C-DF2789827684}"/>
    <cellStyle name="標準 3" xfId="2" xr:uid="{9482840B-0DB2-498C-BE95-292EE21E125D}"/>
    <cellStyle name="標準 3 2" xfId="11" xr:uid="{D4770F2C-81C3-4466-9E6A-461A2BAD455E}"/>
    <cellStyle name="標準 3 2 2" xfId="27" xr:uid="{75513105-9927-4984-BA9F-269068E0026A}"/>
    <cellStyle name="標準 3 3" xfId="19" xr:uid="{A707174C-AAEF-46BD-9EB0-05957F279570}"/>
    <cellStyle name="標準 4" xfId="7" xr:uid="{0E4B473F-4CFA-497C-920D-CA385A0E381A}"/>
  </cellStyles>
  <dxfs count="128">
    <dxf>
      <fill>
        <patternFill>
          <bgColor rgb="FFFFFF99"/>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numFmt numFmtId="2" formatCode="0.00"/>
    </dxf>
    <dxf>
      <numFmt numFmtId="2" formatCode="0.00"/>
    </dxf>
    <dxf>
      <font>
        <color rgb="FFFF0000"/>
      </font>
    </dxf>
    <dxf>
      <font>
        <color rgb="FFFF0000"/>
      </font>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1" tint="0.24994659260841701"/>
        </patternFill>
      </fill>
    </dxf>
    <dxf>
      <fill>
        <patternFill>
          <bgColor theme="1" tint="0.24994659260841701"/>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1" tint="0.24994659260841701"/>
        </patternFill>
      </fill>
    </dxf>
    <dxf>
      <font>
        <color rgb="FFFF0000"/>
      </font>
    </dxf>
    <dxf>
      <font>
        <color rgb="FFFF0000"/>
      </font>
    </dxf>
    <dxf>
      <font>
        <color rgb="FFFF0000"/>
      </font>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color rgb="FFFF0000"/>
      </font>
    </dxf>
    <dxf>
      <font>
        <color rgb="FFFF0000"/>
      </font>
    </dxf>
    <dxf>
      <font>
        <color rgb="FFFF0000"/>
      </font>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1" tint="0.24994659260841701"/>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1" tint="0.24994659260841701"/>
        </patternFill>
      </fill>
    </dxf>
    <dxf>
      <fill>
        <patternFill>
          <bgColor theme="1" tint="0.24994659260841701"/>
        </patternFill>
      </fill>
    </dxf>
  </dxfs>
  <tableStyles count="0" defaultTableStyle="TableStyleMedium2" defaultPivotStyle="PivotStyleLight16"/>
  <colors>
    <mruColors>
      <color rgb="FF0000FF"/>
      <color rgb="FFFF0066"/>
      <color rgb="FFFFDCDC"/>
      <color rgb="FFCCCCFF"/>
      <color rgb="FF6600CC"/>
      <color rgb="FFCC99FF"/>
      <color rgb="FF9900FF"/>
      <color rgb="FF660066"/>
      <color rgb="FF0080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AE$42" lockText="1" noThreeD="1"/>
</file>

<file path=xl/ctrlProps/ctrlProp10.xml><?xml version="1.0" encoding="utf-8"?>
<formControlPr xmlns="http://schemas.microsoft.com/office/spreadsheetml/2009/9/main" objectType="CheckBox" fmlaLink="$AE$71" lockText="1" noThreeD="1"/>
</file>

<file path=xl/ctrlProps/ctrlProp11.xml><?xml version="1.0" encoding="utf-8"?>
<formControlPr xmlns="http://schemas.microsoft.com/office/spreadsheetml/2009/9/main" objectType="CheckBox" fmlaLink="$AE$72" lockText="1" noThreeD="1"/>
</file>

<file path=xl/ctrlProps/ctrlProp12.xml><?xml version="1.0" encoding="utf-8"?>
<formControlPr xmlns="http://schemas.microsoft.com/office/spreadsheetml/2009/9/main" objectType="CheckBox" fmlaLink="$AE$73" lockText="1" noThreeD="1"/>
</file>

<file path=xl/ctrlProps/ctrlProp13.xml><?xml version="1.0" encoding="utf-8"?>
<formControlPr xmlns="http://schemas.microsoft.com/office/spreadsheetml/2009/9/main" objectType="CheckBox" fmlaLink="$AE$75" lockText="1" noThreeD="1"/>
</file>

<file path=xl/ctrlProps/ctrlProp14.xml><?xml version="1.0" encoding="utf-8"?>
<formControlPr xmlns="http://schemas.microsoft.com/office/spreadsheetml/2009/9/main" objectType="CheckBox" fmlaLink="$AE$76" lockText="1" noThreeD="1"/>
</file>

<file path=xl/ctrlProps/ctrlProp15.xml><?xml version="1.0" encoding="utf-8"?>
<formControlPr xmlns="http://schemas.microsoft.com/office/spreadsheetml/2009/9/main" objectType="CheckBox" fmlaLink="$AE$77" lockText="1" noThreeD="1"/>
</file>

<file path=xl/ctrlProps/ctrlProp16.xml><?xml version="1.0" encoding="utf-8"?>
<formControlPr xmlns="http://schemas.microsoft.com/office/spreadsheetml/2009/9/main" objectType="CheckBox" fmlaLink="$AE$79" lockText="1" noThreeD="1"/>
</file>

<file path=xl/ctrlProps/ctrlProp17.xml><?xml version="1.0" encoding="utf-8"?>
<formControlPr xmlns="http://schemas.microsoft.com/office/spreadsheetml/2009/9/main" objectType="CheckBox" fmlaLink="$AE$81" lockText="1" noThreeD="1"/>
</file>

<file path=xl/ctrlProps/ctrlProp18.xml><?xml version="1.0" encoding="utf-8"?>
<formControlPr xmlns="http://schemas.microsoft.com/office/spreadsheetml/2009/9/main" objectType="CheckBox" fmlaLink="$AE$82" lockText="1" noThreeD="1"/>
</file>

<file path=xl/ctrlProps/ctrlProp19.xml><?xml version="1.0" encoding="utf-8"?>
<formControlPr xmlns="http://schemas.microsoft.com/office/spreadsheetml/2009/9/main" objectType="CheckBox" fmlaLink="$AE$62" lockText="1" noThreeD="1"/>
</file>

<file path=xl/ctrlProps/ctrlProp2.xml><?xml version="1.0" encoding="utf-8"?>
<formControlPr xmlns="http://schemas.microsoft.com/office/spreadsheetml/2009/9/main" objectType="CheckBox" fmlaLink="$AE$43" lockText="1" noThreeD="1"/>
</file>

<file path=xl/ctrlProps/ctrlProp20.xml><?xml version="1.0" encoding="utf-8"?>
<formControlPr xmlns="http://schemas.microsoft.com/office/spreadsheetml/2009/9/main" objectType="CheckBox" fmlaLink="$AE$63" lockText="1" noThreeD="1"/>
</file>

<file path=xl/ctrlProps/ctrlProp21.xml><?xml version="1.0" encoding="utf-8"?>
<formControlPr xmlns="http://schemas.microsoft.com/office/spreadsheetml/2009/9/main" objectType="CheckBox" fmlaLink="$AE$68" lockText="1" noThreeD="1"/>
</file>

<file path=xl/ctrlProps/ctrlProp22.xml><?xml version="1.0" encoding="utf-8"?>
<formControlPr xmlns="http://schemas.microsoft.com/office/spreadsheetml/2009/9/main" objectType="CheckBox" fmlaLink="$AF$50" lockText="1" noThreeD="1"/>
</file>

<file path=xl/ctrlProps/ctrlProp23.xml><?xml version="1.0" encoding="utf-8"?>
<formControlPr xmlns="http://schemas.microsoft.com/office/spreadsheetml/2009/9/main" objectType="CheckBox" fmlaLink="$AF$78" lockText="1" noThreeD="1"/>
</file>

<file path=xl/ctrlProps/ctrlProp24.xml><?xml version="1.0" encoding="utf-8"?>
<formControlPr xmlns="http://schemas.microsoft.com/office/spreadsheetml/2009/9/main" objectType="CheckBox" fmlaLink="$AF$51" lockText="1" noThreeD="1"/>
</file>

<file path=xl/ctrlProps/ctrlProp25.xml><?xml version="1.0" encoding="utf-8"?>
<formControlPr xmlns="http://schemas.microsoft.com/office/spreadsheetml/2009/9/main" objectType="CheckBox" fmlaLink="$AF$52" lockText="1" noThreeD="1"/>
</file>

<file path=xl/ctrlProps/ctrlProp26.xml><?xml version="1.0" encoding="utf-8"?>
<formControlPr xmlns="http://schemas.microsoft.com/office/spreadsheetml/2009/9/main" objectType="CheckBox" fmlaLink="$AF$57" lockText="1" noThreeD="1"/>
</file>

<file path=xl/ctrlProps/ctrlProp27.xml><?xml version="1.0" encoding="utf-8"?>
<formControlPr xmlns="http://schemas.microsoft.com/office/spreadsheetml/2009/9/main" objectType="CheckBox" fmlaLink="$AG$54" lockText="1" noThreeD="1"/>
</file>

<file path=xl/ctrlProps/ctrlProp28.xml><?xml version="1.0" encoding="utf-8"?>
<formControlPr xmlns="http://schemas.microsoft.com/office/spreadsheetml/2009/9/main" objectType="CheckBox" fmlaLink="$AG$55" lockText="1" noThreeD="1"/>
</file>

<file path=xl/ctrlProps/ctrlProp29.xml><?xml version="1.0" encoding="utf-8"?>
<formControlPr xmlns="http://schemas.microsoft.com/office/spreadsheetml/2009/9/main" objectType="CheckBox" fmlaLink="$AG$56" lockText="1" noThreeD="1"/>
</file>

<file path=xl/ctrlProps/ctrlProp3.xml><?xml version="1.0" encoding="utf-8"?>
<formControlPr xmlns="http://schemas.microsoft.com/office/spreadsheetml/2009/9/main" objectType="CheckBox" fmlaLink="$AE$60" lockText="1" noThreeD="1"/>
</file>

<file path=xl/ctrlProps/ctrlProp30.xml><?xml version="1.0" encoding="utf-8"?>
<formControlPr xmlns="http://schemas.microsoft.com/office/spreadsheetml/2009/9/main" objectType="CheckBox" fmlaLink="$AF$58" lockText="1" noThreeD="1"/>
</file>

<file path=xl/ctrlProps/ctrlProp31.xml><?xml version="1.0" encoding="utf-8"?>
<formControlPr xmlns="http://schemas.microsoft.com/office/spreadsheetml/2009/9/main" objectType="CheckBox" fmlaLink="$AF$59" lockText="1" noThreeD="1"/>
</file>

<file path=xl/ctrlProps/ctrlProp32.xml><?xml version="1.0" encoding="utf-8"?>
<formControlPr xmlns="http://schemas.microsoft.com/office/spreadsheetml/2009/9/main" objectType="CheckBox" fmlaLink="$AF$64" lockText="1" noThreeD="1"/>
</file>

<file path=xl/ctrlProps/ctrlProp33.xml><?xml version="1.0" encoding="utf-8"?>
<formControlPr xmlns="http://schemas.microsoft.com/office/spreadsheetml/2009/9/main" objectType="CheckBox" fmlaLink="$AF$65" lockText="1" noThreeD="1"/>
</file>

<file path=xl/ctrlProps/ctrlProp34.xml><?xml version="1.0" encoding="utf-8"?>
<formControlPr xmlns="http://schemas.microsoft.com/office/spreadsheetml/2009/9/main" objectType="CheckBox" fmlaLink="$AF$66" lockText="1" noThreeD="1"/>
</file>

<file path=xl/ctrlProps/ctrlProp35.xml><?xml version="1.0" encoding="utf-8"?>
<formControlPr xmlns="http://schemas.microsoft.com/office/spreadsheetml/2009/9/main" objectType="CheckBox" fmlaLink="$AF$67" lockText="1" noThreeD="1"/>
</file>

<file path=xl/ctrlProps/ctrlProp36.xml><?xml version="1.0" encoding="utf-8"?>
<formControlPr xmlns="http://schemas.microsoft.com/office/spreadsheetml/2009/9/main" objectType="CheckBox" fmlaLink="$AE$47" lockText="1" noThreeD="1"/>
</file>

<file path=xl/ctrlProps/ctrlProp37.xml><?xml version="1.0" encoding="utf-8"?>
<formControlPr xmlns="http://schemas.microsoft.com/office/spreadsheetml/2009/9/main" objectType="CheckBox" fmlaLink="$AE$48" lockText="1" noThreeD="1"/>
</file>

<file path=xl/ctrlProps/ctrlProp38.xml><?xml version="1.0" encoding="utf-8"?>
<formControlPr xmlns="http://schemas.microsoft.com/office/spreadsheetml/2009/9/main" objectType="CheckBox" fmlaLink="$AF$49" lockText="1" noThreeD="1"/>
</file>

<file path=xl/ctrlProps/ctrlProp39.xml><?xml version="1.0" encoding="utf-8"?>
<formControlPr xmlns="http://schemas.microsoft.com/office/spreadsheetml/2009/9/main" objectType="CheckBox" fmlaLink="$AF$54" lockText="1" noThreeD="1"/>
</file>

<file path=xl/ctrlProps/ctrlProp4.xml><?xml version="1.0" encoding="utf-8"?>
<formControlPr xmlns="http://schemas.microsoft.com/office/spreadsheetml/2009/9/main" objectType="CheckBox" fmlaLink="$AF$44" lockText="1" noThreeD="1"/>
</file>

<file path=xl/ctrlProps/ctrlProp40.xml><?xml version="1.0" encoding="utf-8"?>
<formControlPr xmlns="http://schemas.microsoft.com/office/spreadsheetml/2009/9/main" objectType="CheckBox" fmlaLink="$AG$51" lockText="1" noThreeD="1"/>
</file>

<file path=xl/ctrlProps/ctrlProp41.xml><?xml version="1.0" encoding="utf-8"?>
<formControlPr xmlns="http://schemas.microsoft.com/office/spreadsheetml/2009/9/main" objectType="CheckBox" fmlaLink="$AG$52" lockText="1" noThreeD="1"/>
</file>

<file path=xl/ctrlProps/ctrlProp42.xml><?xml version="1.0" encoding="utf-8"?>
<formControlPr xmlns="http://schemas.microsoft.com/office/spreadsheetml/2009/9/main" objectType="CheckBox" fmlaLink="$AG$53" lockText="1" noThreeD="1"/>
</file>

<file path=xl/ctrlProps/ctrlProp43.xml><?xml version="1.0" encoding="utf-8"?>
<formControlPr xmlns="http://schemas.microsoft.com/office/spreadsheetml/2009/9/main" objectType="CheckBox" fmlaLink="$AE$73" lockText="1" noThreeD="1"/>
</file>

<file path=xl/ctrlProps/ctrlProp44.xml><?xml version="1.0" encoding="utf-8"?>
<formControlPr xmlns="http://schemas.microsoft.com/office/spreadsheetml/2009/9/main" objectType="CheckBox" fmlaLink="$AE$74" lockText="1" noThreeD="1"/>
</file>

<file path=xl/ctrlProps/ctrlProp45.xml><?xml version="1.0" encoding="utf-8"?>
<formControlPr xmlns="http://schemas.microsoft.com/office/spreadsheetml/2009/9/main" objectType="CheckBox" fmlaLink="$AE$75" lockText="1" noThreeD="1"/>
</file>

<file path=xl/ctrlProps/ctrlProp46.xml><?xml version="1.0" encoding="utf-8"?>
<formControlPr xmlns="http://schemas.microsoft.com/office/spreadsheetml/2009/9/main" objectType="CheckBox" fmlaLink="$AE$76" lockText="1" noThreeD="1"/>
</file>

<file path=xl/ctrlProps/ctrlProp47.xml><?xml version="1.0" encoding="utf-8"?>
<formControlPr xmlns="http://schemas.microsoft.com/office/spreadsheetml/2009/9/main" objectType="CheckBox" fmlaLink="$AE$78" lockText="1" noThreeD="1"/>
</file>

<file path=xl/ctrlProps/ctrlProp48.xml><?xml version="1.0" encoding="utf-8"?>
<formControlPr xmlns="http://schemas.microsoft.com/office/spreadsheetml/2009/9/main" objectType="CheckBox" fmlaLink="$AE$79" lockText="1" noThreeD="1"/>
</file>

<file path=xl/ctrlProps/ctrlProp49.xml><?xml version="1.0" encoding="utf-8"?>
<formControlPr xmlns="http://schemas.microsoft.com/office/spreadsheetml/2009/9/main" objectType="CheckBox" fmlaLink="$AE$80" lockText="1" noThreeD="1"/>
</file>

<file path=xl/ctrlProps/ctrlProp5.xml><?xml version="1.0" encoding="utf-8"?>
<formControlPr xmlns="http://schemas.microsoft.com/office/spreadsheetml/2009/9/main" objectType="CheckBox" fmlaLink="$AF$49" lockText="1" noThreeD="1"/>
</file>

<file path=xl/ctrlProps/ctrlProp50.xml><?xml version="1.0" encoding="utf-8"?>
<formControlPr xmlns="http://schemas.microsoft.com/office/spreadsheetml/2009/9/main" objectType="CheckBox" fmlaLink="$AE$81" lockText="1" noThreeD="1"/>
</file>

<file path=xl/ctrlProps/ctrlProp51.xml><?xml version="1.0" encoding="utf-8"?>
<formControlPr xmlns="http://schemas.microsoft.com/office/spreadsheetml/2009/9/main" objectType="CheckBox" fmlaLink="$AE$83" lockText="1" noThreeD="1"/>
</file>

<file path=xl/ctrlProps/ctrlProp52.xml><?xml version="1.0" encoding="utf-8"?>
<formControlPr xmlns="http://schemas.microsoft.com/office/spreadsheetml/2009/9/main" objectType="CheckBox" fmlaLink="$AE$84" lockText="1" noThreeD="1"/>
</file>

<file path=xl/ctrlProps/ctrlProp53.xml><?xml version="1.0" encoding="utf-8"?>
<formControlPr xmlns="http://schemas.microsoft.com/office/spreadsheetml/2009/9/main" objectType="CheckBox" fmlaLink="$AE$65" lockText="1" noThreeD="1"/>
</file>

<file path=xl/ctrlProps/ctrlProp54.xml><?xml version="1.0" encoding="utf-8"?>
<formControlPr xmlns="http://schemas.microsoft.com/office/spreadsheetml/2009/9/main" objectType="CheckBox" fmlaLink="$AE$66" lockText="1" noThreeD="1"/>
</file>

<file path=xl/ctrlProps/ctrlProp55.xml><?xml version="1.0" encoding="utf-8"?>
<formControlPr xmlns="http://schemas.microsoft.com/office/spreadsheetml/2009/9/main" objectType="CheckBox" fmlaLink="$AE$71" lockText="1" noThreeD="1"/>
</file>

<file path=xl/ctrlProps/ctrlProp56.xml><?xml version="1.0" encoding="utf-8"?>
<formControlPr xmlns="http://schemas.microsoft.com/office/spreadsheetml/2009/9/main" objectType="CheckBox" fmlaLink="$AE$63" lockText="1" noThreeD="1"/>
</file>

<file path=xl/ctrlProps/ctrlProp57.xml><?xml version="1.0" encoding="utf-8"?>
<formControlPr xmlns="http://schemas.microsoft.com/office/spreadsheetml/2009/9/main" objectType="CheckBox" fmlaLink="$AF$56" lockText="1" noThreeD="1"/>
</file>

<file path=xl/ctrlProps/ctrlProp58.xml><?xml version="1.0" encoding="utf-8"?>
<formControlPr xmlns="http://schemas.microsoft.com/office/spreadsheetml/2009/9/main" objectType="CheckBox" fmlaLink="$AF$61" lockText="1" noThreeD="1"/>
</file>

<file path=xl/ctrlProps/ctrlProp59.xml><?xml version="1.0" encoding="utf-8"?>
<formControlPr xmlns="http://schemas.microsoft.com/office/spreadsheetml/2009/9/main" objectType="CheckBox" fmlaLink="$AG$58" lockText="1" noThreeD="1"/>
</file>

<file path=xl/ctrlProps/ctrlProp6.xml><?xml version="1.0" encoding="utf-8"?>
<formControlPr xmlns="http://schemas.microsoft.com/office/spreadsheetml/2009/9/main" objectType="CheckBox" fmlaLink="$AG$46" lockText="1" noThreeD="1"/>
</file>

<file path=xl/ctrlProps/ctrlProp60.xml><?xml version="1.0" encoding="utf-8"?>
<formControlPr xmlns="http://schemas.microsoft.com/office/spreadsheetml/2009/9/main" objectType="CheckBox" fmlaLink="$AG$59" lockText="1" noThreeD="1"/>
</file>

<file path=xl/ctrlProps/ctrlProp61.xml><?xml version="1.0" encoding="utf-8"?>
<formControlPr xmlns="http://schemas.microsoft.com/office/spreadsheetml/2009/9/main" objectType="CheckBox" fmlaLink="$AG$60" lockText="1" noThreeD="1"/>
</file>

<file path=xl/ctrlProps/ctrlProp62.xml><?xml version="1.0" encoding="utf-8"?>
<formControlPr xmlns="http://schemas.microsoft.com/office/spreadsheetml/2009/9/main" objectType="CheckBox" fmlaLink="$AF$55" lockText="1" noThreeD="1"/>
</file>

<file path=xl/ctrlProps/ctrlProp63.xml><?xml version="1.0" encoding="utf-8"?>
<formControlPr xmlns="http://schemas.microsoft.com/office/spreadsheetml/2009/9/main" objectType="CheckBox" fmlaLink="$AF$62" lockText="1" noThreeD="1"/>
</file>

<file path=xl/ctrlProps/ctrlProp64.xml><?xml version="1.0" encoding="utf-8"?>
<formControlPr xmlns="http://schemas.microsoft.com/office/spreadsheetml/2009/9/main" objectType="CheckBox" fmlaLink="$AF$67" lockText="1" noThreeD="1"/>
</file>

<file path=xl/ctrlProps/ctrlProp65.xml><?xml version="1.0" encoding="utf-8"?>
<formControlPr xmlns="http://schemas.microsoft.com/office/spreadsheetml/2009/9/main" objectType="CheckBox" fmlaLink="$AF$68" lockText="1" noThreeD="1"/>
</file>

<file path=xl/ctrlProps/ctrlProp66.xml><?xml version="1.0" encoding="utf-8"?>
<formControlPr xmlns="http://schemas.microsoft.com/office/spreadsheetml/2009/9/main" objectType="CheckBox" fmlaLink="$AF$69" lockText="1" noThreeD="1"/>
</file>

<file path=xl/ctrlProps/ctrlProp67.xml><?xml version="1.0" encoding="utf-8"?>
<formControlPr xmlns="http://schemas.microsoft.com/office/spreadsheetml/2009/9/main" objectType="CheckBox" fmlaLink="$AF$70" lockText="1" noThreeD="1"/>
</file>

<file path=xl/ctrlProps/ctrlProp68.xml><?xml version="1.0" encoding="utf-8"?>
<formControlPr xmlns="http://schemas.microsoft.com/office/spreadsheetml/2009/9/main" objectType="CheckBox" fmlaLink="$AE$40" lockText="1" noThreeD="1"/>
</file>

<file path=xl/ctrlProps/ctrlProp69.xml><?xml version="1.0" encoding="utf-8"?>
<formControlPr xmlns="http://schemas.microsoft.com/office/spreadsheetml/2009/9/main" objectType="CheckBox" fmlaLink="$AE$41" lockText="1" noThreeD="1"/>
</file>

<file path=xl/ctrlProps/ctrlProp7.xml><?xml version="1.0" encoding="utf-8"?>
<formControlPr xmlns="http://schemas.microsoft.com/office/spreadsheetml/2009/9/main" objectType="CheckBox" fmlaLink="$AG$47" lockText="1" noThreeD="1"/>
</file>

<file path=xl/ctrlProps/ctrlProp70.xml><?xml version="1.0" encoding="utf-8"?>
<formControlPr xmlns="http://schemas.microsoft.com/office/spreadsheetml/2009/9/main" objectType="CheckBox" fmlaLink="$AE$42" lockText="1" noThreeD="1"/>
</file>

<file path=xl/ctrlProps/ctrlProp71.xml><?xml version="1.0" encoding="utf-8"?>
<formControlPr xmlns="http://schemas.microsoft.com/office/spreadsheetml/2009/9/main" objectType="CheckBox" fmlaLink="$AE$43" lockText="1" noThreeD="1"/>
</file>

<file path=xl/ctrlProps/ctrlProp72.xml><?xml version="1.0" encoding="utf-8"?>
<formControlPr xmlns="http://schemas.microsoft.com/office/spreadsheetml/2009/9/main" objectType="CheckBox" fmlaLink="$AE$45" lockText="1" noThreeD="1"/>
</file>

<file path=xl/ctrlProps/ctrlProp73.xml><?xml version="1.0" encoding="utf-8"?>
<formControlPr xmlns="http://schemas.microsoft.com/office/spreadsheetml/2009/9/main" objectType="CheckBox" fmlaLink="$AE$46" lockText="1" noThreeD="1"/>
</file>

<file path=xl/ctrlProps/ctrlProp74.xml><?xml version="1.0" encoding="utf-8"?>
<formControlPr xmlns="http://schemas.microsoft.com/office/spreadsheetml/2009/9/main" objectType="CheckBox" fmlaLink="$AE$47" lockText="1" noThreeD="1"/>
</file>

<file path=xl/ctrlProps/ctrlProp75.xml><?xml version="1.0" encoding="utf-8"?>
<formControlPr xmlns="http://schemas.microsoft.com/office/spreadsheetml/2009/9/main" objectType="CheckBox" fmlaLink="$AE$48" lockText="1" noThreeD="1"/>
</file>

<file path=xl/ctrlProps/ctrlProp76.xml><?xml version="1.0" encoding="utf-8"?>
<formControlPr xmlns="http://schemas.microsoft.com/office/spreadsheetml/2009/9/main" objectType="CheckBox" fmlaLink="$AE$50" lockText="1" noThreeD="1"/>
</file>

<file path=xl/ctrlProps/ctrlProp77.xml><?xml version="1.0" encoding="utf-8"?>
<formControlPr xmlns="http://schemas.microsoft.com/office/spreadsheetml/2009/9/main" objectType="CheckBox" fmlaLink="$AE$51" lockText="1" noThreeD="1"/>
</file>

<file path=xl/ctrlProps/ctrlProp78.xml><?xml version="1.0" encoding="utf-8"?>
<formControlPr xmlns="http://schemas.microsoft.com/office/spreadsheetml/2009/9/main" objectType="CheckBox" fmlaLink="$AE$32" lockText="1" noThreeD="1"/>
</file>

<file path=xl/ctrlProps/ctrlProp79.xml><?xml version="1.0" encoding="utf-8"?>
<formControlPr xmlns="http://schemas.microsoft.com/office/spreadsheetml/2009/9/main" objectType="CheckBox" fmlaLink="$AE$33" lockText="1" noThreeD="1"/>
</file>

<file path=xl/ctrlProps/ctrlProp8.xml><?xml version="1.0" encoding="utf-8"?>
<formControlPr xmlns="http://schemas.microsoft.com/office/spreadsheetml/2009/9/main" objectType="CheckBox" fmlaLink="$AG$48" lockText="1" noThreeD="1"/>
</file>

<file path=xl/ctrlProps/ctrlProp80.xml><?xml version="1.0" encoding="utf-8"?>
<formControlPr xmlns="http://schemas.microsoft.com/office/spreadsheetml/2009/9/main" objectType="CheckBox" fmlaLink="$AE$38" lockText="1" noThreeD="1"/>
</file>

<file path=xl/ctrlProps/ctrlProp81.xml><?xml version="1.0" encoding="utf-8"?>
<formControlPr xmlns="http://schemas.microsoft.com/office/spreadsheetml/2009/9/main" objectType="CheckBox" fmlaLink="$AF$34" lockText="1" noThreeD="1"/>
</file>

<file path=xl/ctrlProps/ctrlProp82.xml><?xml version="1.0" encoding="utf-8"?>
<formControlPr xmlns="http://schemas.microsoft.com/office/spreadsheetml/2009/9/main" objectType="CheckBox" fmlaLink="$AF$35" lockText="1" noThreeD="1"/>
</file>

<file path=xl/ctrlProps/ctrlProp83.xml><?xml version="1.0" encoding="utf-8"?>
<formControlPr xmlns="http://schemas.microsoft.com/office/spreadsheetml/2009/9/main" objectType="CheckBox" fmlaLink="$AF$36" lockText="1" noThreeD="1"/>
</file>

<file path=xl/ctrlProps/ctrlProp84.xml><?xml version="1.0" encoding="utf-8"?>
<formControlPr xmlns="http://schemas.microsoft.com/office/spreadsheetml/2009/9/main" objectType="CheckBox" fmlaLink="$AF$37" lockText="1" noThreeD="1"/>
</file>

<file path=xl/ctrlProps/ctrlProp9.xml><?xml version="1.0" encoding="utf-8"?>
<formControlPr xmlns="http://schemas.microsoft.com/office/spreadsheetml/2009/9/main" objectType="CheckBox" fmlaLink="$AE$70"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5" Type="http://schemas.openxmlformats.org/officeDocument/2006/relationships/image" Target="../media/image8.png"/><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5" Type="http://schemas.openxmlformats.org/officeDocument/2006/relationships/image" Target="../media/image8.png"/><Relationship Id="rId4" Type="http://schemas.openxmlformats.org/officeDocument/2006/relationships/image" Target="../media/image7.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5" Type="http://schemas.openxmlformats.org/officeDocument/2006/relationships/image" Target="../media/image8.png"/><Relationship Id="rId4" Type="http://schemas.openxmlformats.org/officeDocument/2006/relationships/image" Target="../media/image7.png"/></Relationships>
</file>

<file path=xl/drawings/_rels/drawing7.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 Id="rId4"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oneCell">
    <xdr:from>
      <xdr:col>21</xdr:col>
      <xdr:colOff>390524</xdr:colOff>
      <xdr:row>1</xdr:row>
      <xdr:rowOff>23000</xdr:rowOff>
    </xdr:from>
    <xdr:to>
      <xdr:col>27</xdr:col>
      <xdr:colOff>564682</xdr:colOff>
      <xdr:row>13</xdr:row>
      <xdr:rowOff>157655</xdr:rowOff>
    </xdr:to>
    <xdr:pic>
      <xdr:nvPicPr>
        <xdr:cNvPr id="16" name="図 15">
          <a:extLst>
            <a:ext uri="{FF2B5EF4-FFF2-40B4-BE49-F238E27FC236}">
              <a16:creationId xmlns:a16="http://schemas.microsoft.com/office/drawing/2014/main" id="{76377AF9-0362-471D-B63A-15925D4D920B}"/>
            </a:ext>
          </a:extLst>
        </xdr:cNvPr>
        <xdr:cNvPicPr>
          <a:picLocks noChangeAspect="1"/>
        </xdr:cNvPicPr>
      </xdr:nvPicPr>
      <xdr:blipFill>
        <a:blip xmlns:r="http://schemas.openxmlformats.org/officeDocument/2006/relationships" r:embed="rId1"/>
        <a:stretch>
          <a:fillRect/>
        </a:stretch>
      </xdr:blipFill>
      <xdr:spPr>
        <a:xfrm>
          <a:off x="14458949" y="556400"/>
          <a:ext cx="4288958" cy="26206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11</xdr:row>
      <xdr:rowOff>13855</xdr:rowOff>
    </xdr:from>
    <xdr:to>
      <xdr:col>0</xdr:col>
      <xdr:colOff>521925</xdr:colOff>
      <xdr:row>12</xdr:row>
      <xdr:rowOff>340150</xdr:rowOff>
    </xdr:to>
    <xdr:pic>
      <xdr:nvPicPr>
        <xdr:cNvPr id="5" name="図 4">
          <a:extLst>
            <a:ext uri="{FF2B5EF4-FFF2-40B4-BE49-F238E27FC236}">
              <a16:creationId xmlns:a16="http://schemas.microsoft.com/office/drawing/2014/main" id="{FDC0EFAA-AF16-60F2-1F54-9A65A031266D}"/>
            </a:ext>
          </a:extLst>
        </xdr:cNvPr>
        <xdr:cNvPicPr>
          <a:picLocks noChangeAspect="1"/>
        </xdr:cNvPicPr>
      </xdr:nvPicPr>
      <xdr:blipFill>
        <a:blip xmlns:r="http://schemas.openxmlformats.org/officeDocument/2006/relationships" r:embed="rId1"/>
        <a:stretch>
          <a:fillRect/>
        </a:stretch>
      </xdr:blipFill>
      <xdr:spPr>
        <a:xfrm>
          <a:off x="161925" y="2429741"/>
          <a:ext cx="360000" cy="358269"/>
        </a:xfrm>
        <a:prstGeom prst="rect">
          <a:avLst/>
        </a:prstGeom>
      </xdr:spPr>
    </xdr:pic>
    <xdr:clientData/>
  </xdr:twoCellAnchor>
  <xdr:twoCellAnchor editAs="oneCell">
    <xdr:from>
      <xdr:col>0</xdr:col>
      <xdr:colOff>125539</xdr:colOff>
      <xdr:row>20</xdr:row>
      <xdr:rowOff>108244</xdr:rowOff>
    </xdr:from>
    <xdr:to>
      <xdr:col>0</xdr:col>
      <xdr:colOff>485539</xdr:colOff>
      <xdr:row>21</xdr:row>
      <xdr:rowOff>165176</xdr:rowOff>
    </xdr:to>
    <xdr:pic>
      <xdr:nvPicPr>
        <xdr:cNvPr id="11" name="図 10">
          <a:extLst>
            <a:ext uri="{FF2B5EF4-FFF2-40B4-BE49-F238E27FC236}">
              <a16:creationId xmlns:a16="http://schemas.microsoft.com/office/drawing/2014/main" id="{46577A18-402E-CBFF-C80F-8514A24F2C0B}"/>
            </a:ext>
          </a:extLst>
        </xdr:cNvPr>
        <xdr:cNvPicPr>
          <a:picLocks noChangeAspect="1"/>
        </xdr:cNvPicPr>
      </xdr:nvPicPr>
      <xdr:blipFill>
        <a:blip xmlns:r="http://schemas.openxmlformats.org/officeDocument/2006/relationships" r:embed="rId2"/>
        <a:stretch>
          <a:fillRect/>
        </a:stretch>
      </xdr:blipFill>
      <xdr:spPr>
        <a:xfrm>
          <a:off x="125539" y="4165894"/>
          <a:ext cx="360000" cy="361732"/>
        </a:xfrm>
        <a:prstGeom prst="rect">
          <a:avLst/>
        </a:prstGeom>
      </xdr:spPr>
    </xdr:pic>
    <xdr:clientData/>
  </xdr:twoCellAnchor>
  <xdr:oneCellAnchor>
    <xdr:from>
      <xdr:col>13</xdr:col>
      <xdr:colOff>206616</xdr:colOff>
      <xdr:row>24</xdr:row>
      <xdr:rowOff>47625</xdr:rowOff>
    </xdr:from>
    <xdr:ext cx="4588885" cy="492443"/>
    <xdr:sp macro="" textlink="">
      <xdr:nvSpPr>
        <xdr:cNvPr id="13" name="テキスト ボックス 12">
          <a:extLst>
            <a:ext uri="{FF2B5EF4-FFF2-40B4-BE49-F238E27FC236}">
              <a16:creationId xmlns:a16="http://schemas.microsoft.com/office/drawing/2014/main" id="{7ADA4F79-E2CE-4575-92ED-3AB2BAA79883}"/>
            </a:ext>
          </a:extLst>
        </xdr:cNvPr>
        <xdr:cNvSpPr txBox="1"/>
      </xdr:nvSpPr>
      <xdr:spPr>
        <a:xfrm>
          <a:off x="6397866" y="5124450"/>
          <a:ext cx="4588885" cy="492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0">
              <a:latin typeface="BIZ UDPゴシック" panose="020B0400000000000000" pitchFamily="50" charset="-128"/>
              <a:ea typeface="BIZ UDPゴシック" panose="020B0400000000000000" pitchFamily="50" charset="-128"/>
            </a:rPr>
            <a:t>建設地の地域に応じたシートに移動します</a:t>
          </a:r>
        </a:p>
        <a:p>
          <a:r>
            <a:rPr kumimoji="1" lang="ja-JP" altLang="en-US" sz="1200" b="0">
              <a:latin typeface="BIZ UDPゴシック" panose="020B0400000000000000" pitchFamily="50" charset="-128"/>
              <a:ea typeface="BIZ UDPゴシック" panose="020B0400000000000000" pitchFamily="50" charset="-128"/>
            </a:rPr>
            <a:t>下のシート名（シートタブ）をクリックしてもシートの移動は可能です</a:t>
          </a:r>
        </a:p>
      </xdr:txBody>
    </xdr:sp>
    <xdr:clientData/>
  </xdr:oneCellAnchor>
  <xdr:twoCellAnchor>
    <xdr:from>
      <xdr:col>2</xdr:col>
      <xdr:colOff>21975</xdr:colOff>
      <xdr:row>24</xdr:row>
      <xdr:rowOff>58621</xdr:rowOff>
    </xdr:from>
    <xdr:to>
      <xdr:col>12</xdr:col>
      <xdr:colOff>423052</xdr:colOff>
      <xdr:row>25</xdr:row>
      <xdr:rowOff>290890</xdr:rowOff>
    </xdr:to>
    <xdr:sp macro="" textlink="">
      <xdr:nvSpPr>
        <xdr:cNvPr id="14" name="四角形: 角を丸くする 13">
          <a:extLst>
            <a:ext uri="{FF2B5EF4-FFF2-40B4-BE49-F238E27FC236}">
              <a16:creationId xmlns:a16="http://schemas.microsoft.com/office/drawing/2014/main" id="{2C020A7C-23CD-49E0-8C8B-C51A20DEF6A0}"/>
            </a:ext>
          </a:extLst>
        </xdr:cNvPr>
        <xdr:cNvSpPr/>
      </xdr:nvSpPr>
      <xdr:spPr>
        <a:xfrm>
          <a:off x="1282206" y="7414852"/>
          <a:ext cx="4680000" cy="540000"/>
        </a:xfrm>
        <a:prstGeom prst="roundRect">
          <a:avLst/>
        </a:prstGeom>
        <a:solidFill>
          <a:schemeClr val="tx2">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533395</xdr:colOff>
      <xdr:row>24</xdr:row>
      <xdr:rowOff>106246</xdr:rowOff>
    </xdr:from>
    <xdr:ext cx="2657202" cy="425758"/>
    <xdr:sp macro="" textlink="">
      <xdr:nvSpPr>
        <xdr:cNvPr id="25" name="テキスト ボックス 24">
          <a:extLst>
            <a:ext uri="{FF2B5EF4-FFF2-40B4-BE49-F238E27FC236}">
              <a16:creationId xmlns:a16="http://schemas.microsoft.com/office/drawing/2014/main" id="{74D2EFF8-2A62-46EF-A5CD-1F57D840FE32}"/>
            </a:ext>
          </a:extLst>
        </xdr:cNvPr>
        <xdr:cNvSpPr txBox="1"/>
      </xdr:nvSpPr>
      <xdr:spPr>
        <a:xfrm>
          <a:off x="1790695" y="6745171"/>
          <a:ext cx="2657202"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b="1">
              <a:solidFill>
                <a:schemeClr val="bg1"/>
              </a:solidFill>
              <a:latin typeface="BIZ UDPゴシック" panose="020B0400000000000000" pitchFamily="50" charset="-128"/>
              <a:ea typeface="BIZ UDPゴシック" panose="020B0400000000000000" pitchFamily="50" charset="-128"/>
            </a:rPr>
            <a:t>仕様入力シートに移動</a:t>
          </a:r>
          <a:endParaRPr kumimoji="1" lang="en-US" altLang="ja-JP" sz="2000" b="1">
            <a:solidFill>
              <a:schemeClr val="bg1"/>
            </a:solidFill>
            <a:latin typeface="BIZ UDPゴシック" panose="020B0400000000000000" pitchFamily="50" charset="-128"/>
            <a:ea typeface="BIZ UDPゴシック" panose="020B0400000000000000" pitchFamily="50" charset="-128"/>
          </a:endParaRPr>
        </a:p>
      </xdr:txBody>
    </xdr:sp>
    <xdr:clientData/>
  </xdr:oneCellAnchor>
  <xdr:twoCellAnchor>
    <xdr:from>
      <xdr:col>11</xdr:col>
      <xdr:colOff>145075</xdr:colOff>
      <xdr:row>24</xdr:row>
      <xdr:rowOff>157534</xdr:rowOff>
    </xdr:from>
    <xdr:to>
      <xdr:col>12</xdr:col>
      <xdr:colOff>219959</xdr:colOff>
      <xdr:row>25</xdr:row>
      <xdr:rowOff>173803</xdr:rowOff>
    </xdr:to>
    <xdr:sp macro="" textlink="">
      <xdr:nvSpPr>
        <xdr:cNvPr id="26" name="楕円 25">
          <a:extLst>
            <a:ext uri="{FF2B5EF4-FFF2-40B4-BE49-F238E27FC236}">
              <a16:creationId xmlns:a16="http://schemas.microsoft.com/office/drawing/2014/main" id="{AF6306ED-E0FB-4969-B8F2-F5AEAD817B0B}"/>
            </a:ext>
          </a:extLst>
        </xdr:cNvPr>
        <xdr:cNvSpPr/>
      </xdr:nvSpPr>
      <xdr:spPr>
        <a:xfrm>
          <a:off x="4768363" y="7513765"/>
          <a:ext cx="324000" cy="324000"/>
        </a:xfrm>
        <a:prstGeom prst="ellipse">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239228</xdr:colOff>
      <xdr:row>24</xdr:row>
      <xdr:rowOff>213586</xdr:rowOff>
    </xdr:from>
    <xdr:to>
      <xdr:col>12</xdr:col>
      <xdr:colOff>170112</xdr:colOff>
      <xdr:row>25</xdr:row>
      <xdr:rowOff>114655</xdr:rowOff>
    </xdr:to>
    <xdr:sp macro="" textlink="">
      <xdr:nvSpPr>
        <xdr:cNvPr id="27" name="二等辺三角形 26">
          <a:extLst>
            <a:ext uri="{FF2B5EF4-FFF2-40B4-BE49-F238E27FC236}">
              <a16:creationId xmlns:a16="http://schemas.microsoft.com/office/drawing/2014/main" id="{4FAF5810-74D1-4DDC-B131-D59A957B9FAD}"/>
            </a:ext>
          </a:extLst>
        </xdr:cNvPr>
        <xdr:cNvSpPr>
          <a:spLocks noChangeAspect="1"/>
        </xdr:cNvSpPr>
      </xdr:nvSpPr>
      <xdr:spPr>
        <a:xfrm rot="5400000">
          <a:off x="4848116" y="7584217"/>
          <a:ext cx="208800" cy="180000"/>
        </a:xfrm>
        <a:prstGeom prst="triangle">
          <a:avLst/>
        </a:prstGeom>
        <a:solidFill>
          <a:schemeClr val="accent5">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619125</xdr:colOff>
      <xdr:row>23</xdr:row>
      <xdr:rowOff>161925</xdr:rowOff>
    </xdr:from>
    <xdr:to>
      <xdr:col>12</xdr:col>
      <xdr:colOff>514350</xdr:colOff>
      <xdr:row>26</xdr:row>
      <xdr:rowOff>76200</xdr:rowOff>
    </xdr:to>
    <xdr:sp macro="[0]!Sheet1.シート移動" textlink="">
      <xdr:nvSpPr>
        <xdr:cNvPr id="22" name="正方形/長方形 21">
          <a:extLst>
            <a:ext uri="{FF2B5EF4-FFF2-40B4-BE49-F238E27FC236}">
              <a16:creationId xmlns:a16="http://schemas.microsoft.com/office/drawing/2014/main" id="{16E2DE21-5214-2539-8C3C-545C864DDC7F}"/>
            </a:ext>
          </a:extLst>
        </xdr:cNvPr>
        <xdr:cNvSpPr/>
      </xdr:nvSpPr>
      <xdr:spPr>
        <a:xfrm>
          <a:off x="1209675" y="8591550"/>
          <a:ext cx="4829175" cy="7143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871863</xdr:colOff>
      <xdr:row>40</xdr:row>
      <xdr:rowOff>11908</xdr:rowOff>
    </xdr:from>
    <xdr:to>
      <xdr:col>4</xdr:col>
      <xdr:colOff>146446</xdr:colOff>
      <xdr:row>40</xdr:row>
      <xdr:rowOff>827360</xdr:rowOff>
    </xdr:to>
    <xdr:grpSp>
      <xdr:nvGrpSpPr>
        <xdr:cNvPr id="2" name="グループ化 1">
          <a:extLst>
            <a:ext uri="{FF2B5EF4-FFF2-40B4-BE49-F238E27FC236}">
              <a16:creationId xmlns:a16="http://schemas.microsoft.com/office/drawing/2014/main" id="{4C107D77-8EE0-4927-B44A-19DB47AA2631}"/>
            </a:ext>
          </a:extLst>
        </xdr:cNvPr>
        <xdr:cNvGrpSpPr/>
      </xdr:nvGrpSpPr>
      <xdr:grpSpPr>
        <a:xfrm>
          <a:off x="1125863" y="20998658"/>
          <a:ext cx="2989333" cy="815452"/>
          <a:chOff x="4914035" y="21705095"/>
          <a:chExt cx="2973855" cy="815452"/>
        </a:xfrm>
      </xdr:grpSpPr>
      <xdr:grpSp>
        <xdr:nvGrpSpPr>
          <xdr:cNvPr id="3" name="グループ化 2">
            <a:extLst>
              <a:ext uri="{FF2B5EF4-FFF2-40B4-BE49-F238E27FC236}">
                <a16:creationId xmlns:a16="http://schemas.microsoft.com/office/drawing/2014/main" id="{B75D62DC-14EE-F165-3326-46B28EE01617}"/>
              </a:ext>
            </a:extLst>
          </xdr:cNvPr>
          <xdr:cNvGrpSpPr/>
        </xdr:nvGrpSpPr>
        <xdr:grpSpPr>
          <a:xfrm>
            <a:off x="4914035" y="21727030"/>
            <a:ext cx="2924350" cy="793517"/>
            <a:chOff x="1202532" y="10404067"/>
            <a:chExt cx="2928109" cy="775427"/>
          </a:xfrm>
        </xdr:grpSpPr>
        <xdr:pic>
          <xdr:nvPicPr>
            <xdr:cNvPr id="5" name="図 4">
              <a:extLst>
                <a:ext uri="{FF2B5EF4-FFF2-40B4-BE49-F238E27FC236}">
                  <a16:creationId xmlns:a16="http://schemas.microsoft.com/office/drawing/2014/main" id="{74E85B14-EC2F-5148-05D0-42A2E9FF8FDD}"/>
                </a:ext>
              </a:extLst>
            </xdr:cNvPr>
            <xdr:cNvPicPr>
              <a:picLocks noChangeAspect="1"/>
            </xdr:cNvPicPr>
          </xdr:nvPicPr>
          <xdr:blipFill rotWithShape="1">
            <a:blip xmlns:r="http://schemas.openxmlformats.org/officeDocument/2006/relationships" r:embed="rId1"/>
            <a:srcRect l="31628" t="1260" r="66108" b="71030"/>
            <a:stretch/>
          </xdr:blipFill>
          <xdr:spPr>
            <a:xfrm>
              <a:off x="3869677" y="10404067"/>
              <a:ext cx="260964" cy="217960"/>
            </a:xfrm>
            <a:prstGeom prst="rect">
              <a:avLst/>
            </a:prstGeom>
          </xdr:spPr>
        </xdr:pic>
        <xdr:sp macro="" textlink="">
          <xdr:nvSpPr>
            <xdr:cNvPr id="6" name="正方形/長方形 5">
              <a:extLst>
                <a:ext uri="{FF2B5EF4-FFF2-40B4-BE49-F238E27FC236}">
                  <a16:creationId xmlns:a16="http://schemas.microsoft.com/office/drawing/2014/main" id="{549FCE0B-EA7D-D2DE-AFE0-E4383DF5C076}"/>
                </a:ext>
              </a:extLst>
            </xdr:cNvPr>
            <xdr:cNvSpPr/>
          </xdr:nvSpPr>
          <xdr:spPr>
            <a:xfrm>
              <a:off x="1202532" y="10953751"/>
              <a:ext cx="1052033" cy="225743"/>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4" name="正方形/長方形 3">
            <a:extLst>
              <a:ext uri="{FF2B5EF4-FFF2-40B4-BE49-F238E27FC236}">
                <a16:creationId xmlns:a16="http://schemas.microsoft.com/office/drawing/2014/main" id="{DB450240-2CA5-ED95-5B61-05AE4B7034A1}"/>
              </a:ext>
            </a:extLst>
          </xdr:cNvPr>
          <xdr:cNvSpPr/>
        </xdr:nvSpPr>
        <xdr:spPr>
          <a:xfrm>
            <a:off x="7786687" y="21705095"/>
            <a:ext cx="101203" cy="65484"/>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3</xdr:col>
      <xdr:colOff>765642</xdr:colOff>
      <xdr:row>39</xdr:row>
      <xdr:rowOff>143437</xdr:rowOff>
    </xdr:from>
    <xdr:to>
      <xdr:col>14</xdr:col>
      <xdr:colOff>809625</xdr:colOff>
      <xdr:row>40</xdr:row>
      <xdr:rowOff>1546412</xdr:rowOff>
    </xdr:to>
    <xdr:sp macro="" textlink="">
      <xdr:nvSpPr>
        <xdr:cNvPr id="7" name="テキスト ボックス 6">
          <a:extLst>
            <a:ext uri="{FF2B5EF4-FFF2-40B4-BE49-F238E27FC236}">
              <a16:creationId xmlns:a16="http://schemas.microsoft.com/office/drawing/2014/main" id="{DCE3141D-0F07-4E30-B61C-D19B17F09360}"/>
            </a:ext>
          </a:extLst>
        </xdr:cNvPr>
        <xdr:cNvSpPr txBox="1"/>
      </xdr:nvSpPr>
      <xdr:spPr>
        <a:xfrm>
          <a:off x="3742205" y="21277031"/>
          <a:ext cx="10878670" cy="15696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nSpc>
              <a:spcPts val="2000"/>
            </a:lnSpc>
          </a:pPr>
          <a:r>
            <a:rPr kumimoji="1" lang="ja-JP" altLang="en-US" sz="1600" b="0">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400" b="0">
              <a:solidFill>
                <a:sysClr val="windowText" lastClr="000000"/>
              </a:solidFill>
              <a:latin typeface="BIZ UDPゴシック" panose="020B0400000000000000" pitchFamily="50" charset="-128"/>
              <a:ea typeface="BIZ UDPゴシック" panose="020B0400000000000000" pitchFamily="50" charset="-128"/>
            </a:rPr>
            <a:t>下記に記載のない設備機器（床暖房など）を設置する場合、このツールは使用できません。</a:t>
          </a:r>
          <a:endParaRPr kumimoji="1" lang="en-US" altLang="ja-JP" sz="1600" b="0">
            <a:solidFill>
              <a:sysClr val="windowText" lastClr="000000"/>
            </a:solidFill>
            <a:latin typeface="BIZ UDPゴシック" panose="020B0400000000000000" pitchFamily="50" charset="-128"/>
            <a:ea typeface="BIZ UDPゴシック" panose="020B0400000000000000" pitchFamily="50" charset="-128"/>
          </a:endParaRPr>
        </a:p>
        <a:p>
          <a:pPr>
            <a:lnSpc>
              <a:spcPts val="20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□を選択してチェック✓を入れてください。</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20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備考には、設置した機器名や設置場所（照明のみ）を記載してください。</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暖冷房設備は、暖冷房する範囲を選択したのち、各々についていずれかを選択✓してください。</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暖冷房設備、給湯設備、照明設備を設置しない場合は、「設置しない（入居者設置など完了検査時点で設置が行われない）」にチェックしてください。</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□に当てはまる項目がない場合、備考に記載してください。</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xdr:col>
      <xdr:colOff>709612</xdr:colOff>
      <xdr:row>40</xdr:row>
      <xdr:rowOff>19050</xdr:rowOff>
    </xdr:from>
    <xdr:to>
      <xdr:col>3</xdr:col>
      <xdr:colOff>709612</xdr:colOff>
      <xdr:row>40</xdr:row>
      <xdr:rowOff>1423050</xdr:rowOff>
    </xdr:to>
    <xdr:cxnSp macro="">
      <xdr:nvCxnSpPr>
        <xdr:cNvPr id="8" name="直線コネクタ 7">
          <a:extLst>
            <a:ext uri="{FF2B5EF4-FFF2-40B4-BE49-F238E27FC236}">
              <a16:creationId xmlns:a16="http://schemas.microsoft.com/office/drawing/2014/main" id="{9925D1F8-BD83-4766-ADD2-21E478598ED9}"/>
            </a:ext>
          </a:extLst>
        </xdr:cNvPr>
        <xdr:cNvCxnSpPr/>
      </xdr:nvCxnSpPr>
      <xdr:spPr>
        <a:xfrm flipH="1">
          <a:off x="3681412" y="22831425"/>
          <a:ext cx="0" cy="1404000"/>
        </a:xfrm>
        <a:prstGeom prst="line">
          <a:avLst/>
        </a:prstGeom>
        <a:ln w="15875">
          <a:solidFill>
            <a:schemeClr val="tx1">
              <a:lumMod val="50000"/>
              <a:lumOff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943164</xdr:colOff>
      <xdr:row>6</xdr:row>
      <xdr:rowOff>1520447</xdr:rowOff>
    </xdr:from>
    <xdr:to>
      <xdr:col>3</xdr:col>
      <xdr:colOff>943164</xdr:colOff>
      <xdr:row>6</xdr:row>
      <xdr:rowOff>1520447</xdr:rowOff>
    </xdr:to>
    <xdr:pic>
      <xdr:nvPicPr>
        <xdr:cNvPr id="9" name="図 8">
          <a:extLst>
            <a:ext uri="{FF2B5EF4-FFF2-40B4-BE49-F238E27FC236}">
              <a16:creationId xmlns:a16="http://schemas.microsoft.com/office/drawing/2014/main" id="{BD700130-259B-4377-9B45-8C241203493B}"/>
            </a:ext>
          </a:extLst>
        </xdr:cNvPr>
        <xdr:cNvPicPr>
          <a:picLocks noChangeAspect="1"/>
        </xdr:cNvPicPr>
      </xdr:nvPicPr>
      <xdr:blipFill>
        <a:blip xmlns:r="http://schemas.openxmlformats.org/officeDocument/2006/relationships" r:embed="rId2"/>
        <a:stretch>
          <a:fillRect/>
        </a:stretch>
      </xdr:blipFill>
      <xdr:spPr>
        <a:xfrm>
          <a:off x="3914964" y="2939672"/>
          <a:ext cx="0" cy="0"/>
        </a:xfrm>
        <a:prstGeom prst="rect">
          <a:avLst/>
        </a:prstGeom>
      </xdr:spPr>
    </xdr:pic>
    <xdr:clientData/>
  </xdr:twoCellAnchor>
  <xdr:twoCellAnchor>
    <xdr:from>
      <xdr:col>3</xdr:col>
      <xdr:colOff>943164</xdr:colOff>
      <xdr:row>6</xdr:row>
      <xdr:rowOff>1520447</xdr:rowOff>
    </xdr:from>
    <xdr:to>
      <xdr:col>3</xdr:col>
      <xdr:colOff>943164</xdr:colOff>
      <xdr:row>7</xdr:row>
      <xdr:rowOff>216694</xdr:rowOff>
    </xdr:to>
    <xdr:pic>
      <xdr:nvPicPr>
        <xdr:cNvPr id="10" name="図 9">
          <a:extLst>
            <a:ext uri="{FF2B5EF4-FFF2-40B4-BE49-F238E27FC236}">
              <a16:creationId xmlns:a16="http://schemas.microsoft.com/office/drawing/2014/main" id="{53303971-19CE-4CC3-A885-05626DCFAB00}"/>
            </a:ext>
          </a:extLst>
        </xdr:cNvPr>
        <xdr:cNvPicPr>
          <a:picLocks noChangeAspect="1"/>
        </xdr:cNvPicPr>
      </xdr:nvPicPr>
      <xdr:blipFill>
        <a:blip xmlns:r="http://schemas.openxmlformats.org/officeDocument/2006/relationships" r:embed="rId2"/>
        <a:stretch>
          <a:fillRect/>
        </a:stretch>
      </xdr:blipFill>
      <xdr:spPr>
        <a:xfrm>
          <a:off x="3914964" y="2939672"/>
          <a:ext cx="0" cy="2029997"/>
        </a:xfrm>
        <a:prstGeom prst="rect">
          <a:avLst/>
        </a:prstGeom>
      </xdr:spPr>
    </xdr:pic>
    <xdr:clientData/>
  </xdr:twoCellAnchor>
  <xdr:twoCellAnchor>
    <xdr:from>
      <xdr:col>3</xdr:col>
      <xdr:colOff>943164</xdr:colOff>
      <xdr:row>6</xdr:row>
      <xdr:rowOff>1520447</xdr:rowOff>
    </xdr:from>
    <xdr:to>
      <xdr:col>3</xdr:col>
      <xdr:colOff>943164</xdr:colOff>
      <xdr:row>6</xdr:row>
      <xdr:rowOff>1520447</xdr:rowOff>
    </xdr:to>
    <xdr:pic>
      <xdr:nvPicPr>
        <xdr:cNvPr id="11" name="図 10">
          <a:extLst>
            <a:ext uri="{FF2B5EF4-FFF2-40B4-BE49-F238E27FC236}">
              <a16:creationId xmlns:a16="http://schemas.microsoft.com/office/drawing/2014/main" id="{8EBF5E51-72BE-4EDB-B72A-616BEBE6C707}"/>
            </a:ext>
          </a:extLst>
        </xdr:cNvPr>
        <xdr:cNvPicPr>
          <a:picLocks noChangeAspect="1"/>
        </xdr:cNvPicPr>
      </xdr:nvPicPr>
      <xdr:blipFill>
        <a:blip xmlns:r="http://schemas.openxmlformats.org/officeDocument/2006/relationships" r:embed="rId2"/>
        <a:stretch>
          <a:fillRect/>
        </a:stretch>
      </xdr:blipFill>
      <xdr:spPr>
        <a:xfrm>
          <a:off x="3914964" y="2939672"/>
          <a:ext cx="0" cy="0"/>
        </a:xfrm>
        <a:prstGeom prst="rect">
          <a:avLst/>
        </a:prstGeom>
      </xdr:spPr>
    </xdr:pic>
    <xdr:clientData/>
  </xdr:twoCellAnchor>
  <xdr:twoCellAnchor>
    <xdr:from>
      <xdr:col>3</xdr:col>
      <xdr:colOff>943164</xdr:colOff>
      <xdr:row>6</xdr:row>
      <xdr:rowOff>1520447</xdr:rowOff>
    </xdr:from>
    <xdr:to>
      <xdr:col>3</xdr:col>
      <xdr:colOff>943164</xdr:colOff>
      <xdr:row>6</xdr:row>
      <xdr:rowOff>1520447</xdr:rowOff>
    </xdr:to>
    <xdr:pic>
      <xdr:nvPicPr>
        <xdr:cNvPr id="12" name="図 11">
          <a:extLst>
            <a:ext uri="{FF2B5EF4-FFF2-40B4-BE49-F238E27FC236}">
              <a16:creationId xmlns:a16="http://schemas.microsoft.com/office/drawing/2014/main" id="{96696FA0-1CD7-401A-A11B-109E5B602A08}"/>
            </a:ext>
          </a:extLst>
        </xdr:cNvPr>
        <xdr:cNvPicPr>
          <a:picLocks noChangeAspect="1"/>
        </xdr:cNvPicPr>
      </xdr:nvPicPr>
      <xdr:blipFill>
        <a:blip xmlns:r="http://schemas.openxmlformats.org/officeDocument/2006/relationships" r:embed="rId2"/>
        <a:stretch>
          <a:fillRect/>
        </a:stretch>
      </xdr:blipFill>
      <xdr:spPr>
        <a:xfrm>
          <a:off x="3914964" y="2939672"/>
          <a:ext cx="0" cy="0"/>
        </a:xfrm>
        <a:prstGeom prst="rect">
          <a:avLst/>
        </a:prstGeom>
      </xdr:spPr>
    </xdr:pic>
    <xdr:clientData/>
  </xdr:twoCellAnchor>
  <xdr:twoCellAnchor>
    <xdr:from>
      <xdr:col>3</xdr:col>
      <xdr:colOff>943164</xdr:colOff>
      <xdr:row>6</xdr:row>
      <xdr:rowOff>1520447</xdr:rowOff>
    </xdr:from>
    <xdr:to>
      <xdr:col>3</xdr:col>
      <xdr:colOff>943164</xdr:colOff>
      <xdr:row>6</xdr:row>
      <xdr:rowOff>1520447</xdr:rowOff>
    </xdr:to>
    <xdr:pic>
      <xdr:nvPicPr>
        <xdr:cNvPr id="13" name="図 12">
          <a:extLst>
            <a:ext uri="{FF2B5EF4-FFF2-40B4-BE49-F238E27FC236}">
              <a16:creationId xmlns:a16="http://schemas.microsoft.com/office/drawing/2014/main" id="{2952CB9A-ED70-48CB-8DF4-265201328F8F}"/>
            </a:ext>
          </a:extLst>
        </xdr:cNvPr>
        <xdr:cNvPicPr>
          <a:picLocks noChangeAspect="1"/>
        </xdr:cNvPicPr>
      </xdr:nvPicPr>
      <xdr:blipFill>
        <a:blip xmlns:r="http://schemas.openxmlformats.org/officeDocument/2006/relationships" r:embed="rId2"/>
        <a:stretch>
          <a:fillRect/>
        </a:stretch>
      </xdr:blipFill>
      <xdr:spPr>
        <a:xfrm>
          <a:off x="3914964" y="2939672"/>
          <a:ext cx="0" cy="0"/>
        </a:xfrm>
        <a:prstGeom prst="rect">
          <a:avLst/>
        </a:prstGeom>
      </xdr:spPr>
    </xdr:pic>
    <xdr:clientData/>
  </xdr:twoCellAnchor>
  <xdr:twoCellAnchor>
    <xdr:from>
      <xdr:col>3</xdr:col>
      <xdr:colOff>943164</xdr:colOff>
      <xdr:row>6</xdr:row>
      <xdr:rowOff>1520447</xdr:rowOff>
    </xdr:from>
    <xdr:to>
      <xdr:col>3</xdr:col>
      <xdr:colOff>943164</xdr:colOff>
      <xdr:row>6</xdr:row>
      <xdr:rowOff>1520447</xdr:rowOff>
    </xdr:to>
    <xdr:pic>
      <xdr:nvPicPr>
        <xdr:cNvPr id="14" name="図 13">
          <a:extLst>
            <a:ext uri="{FF2B5EF4-FFF2-40B4-BE49-F238E27FC236}">
              <a16:creationId xmlns:a16="http://schemas.microsoft.com/office/drawing/2014/main" id="{93C4DA4E-440A-47AB-A7FA-CBF1BF59E0FD}"/>
            </a:ext>
          </a:extLst>
        </xdr:cNvPr>
        <xdr:cNvPicPr>
          <a:picLocks noChangeAspect="1"/>
        </xdr:cNvPicPr>
      </xdr:nvPicPr>
      <xdr:blipFill>
        <a:blip xmlns:r="http://schemas.openxmlformats.org/officeDocument/2006/relationships" r:embed="rId2"/>
        <a:stretch>
          <a:fillRect/>
        </a:stretch>
      </xdr:blipFill>
      <xdr:spPr>
        <a:xfrm>
          <a:off x="3914964" y="2939672"/>
          <a:ext cx="0" cy="0"/>
        </a:xfrm>
        <a:prstGeom prst="rect">
          <a:avLst/>
        </a:prstGeom>
      </xdr:spPr>
    </xdr:pic>
    <xdr:clientData/>
  </xdr:twoCellAnchor>
  <xdr:twoCellAnchor>
    <xdr:from>
      <xdr:col>3</xdr:col>
      <xdr:colOff>943164</xdr:colOff>
      <xdr:row>6</xdr:row>
      <xdr:rowOff>1520447</xdr:rowOff>
    </xdr:from>
    <xdr:to>
      <xdr:col>3</xdr:col>
      <xdr:colOff>943164</xdr:colOff>
      <xdr:row>6</xdr:row>
      <xdr:rowOff>1520447</xdr:rowOff>
    </xdr:to>
    <xdr:pic>
      <xdr:nvPicPr>
        <xdr:cNvPr id="15" name="図 14">
          <a:extLst>
            <a:ext uri="{FF2B5EF4-FFF2-40B4-BE49-F238E27FC236}">
              <a16:creationId xmlns:a16="http://schemas.microsoft.com/office/drawing/2014/main" id="{B6BC26A8-36CD-4E94-9307-6313D24E1CDE}"/>
            </a:ext>
          </a:extLst>
        </xdr:cNvPr>
        <xdr:cNvPicPr>
          <a:picLocks noChangeAspect="1"/>
        </xdr:cNvPicPr>
      </xdr:nvPicPr>
      <xdr:blipFill>
        <a:blip xmlns:r="http://schemas.openxmlformats.org/officeDocument/2006/relationships" r:embed="rId2"/>
        <a:stretch>
          <a:fillRect/>
        </a:stretch>
      </xdr:blipFill>
      <xdr:spPr>
        <a:xfrm>
          <a:off x="3914964" y="2939672"/>
          <a:ext cx="0" cy="0"/>
        </a:xfrm>
        <a:prstGeom prst="rect">
          <a:avLst/>
        </a:prstGeom>
      </xdr:spPr>
    </xdr:pic>
    <xdr:clientData/>
  </xdr:twoCellAnchor>
  <xdr:twoCellAnchor>
    <xdr:from>
      <xdr:col>3</xdr:col>
      <xdr:colOff>410558</xdr:colOff>
      <xdr:row>4</xdr:row>
      <xdr:rowOff>168085</xdr:rowOff>
    </xdr:from>
    <xdr:to>
      <xdr:col>16</xdr:col>
      <xdr:colOff>297657</xdr:colOff>
      <xdr:row>7</xdr:row>
      <xdr:rowOff>38101</xdr:rowOff>
    </xdr:to>
    <xdr:sp macro="" textlink="">
      <xdr:nvSpPr>
        <xdr:cNvPr id="16" name="テキスト ボックス 15">
          <a:extLst>
            <a:ext uri="{FF2B5EF4-FFF2-40B4-BE49-F238E27FC236}">
              <a16:creationId xmlns:a16="http://schemas.microsoft.com/office/drawing/2014/main" id="{26371D94-FCF5-47FB-9266-3E568F2AD3F3}"/>
            </a:ext>
          </a:extLst>
        </xdr:cNvPr>
        <xdr:cNvSpPr txBox="1"/>
      </xdr:nvSpPr>
      <xdr:spPr>
        <a:xfrm>
          <a:off x="3382358" y="977710"/>
          <a:ext cx="12660124" cy="38133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一つの断熱部位に複数の仕様がある場合は、断熱性能が低い仕様（熱抵抗 </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R </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が小さい方）について記入してください。</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「充填＋外張」断熱等のように一つの層構成において複数の断熱材を用いる場合は、</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 「②熱抵抗</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R</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入力方法」では「直接入力」を選択し、「⑧直接入力熱抵抗」に充填する断熱材と外張の断熱材の熱抵抗の合計値を入力します。</a:t>
          </a: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 「③断熱工法」では「軸組充填」または「枠組充填」を選択します。　</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baseline="0">
              <a:solidFill>
                <a:sysClr val="windowText" lastClr="000000"/>
              </a:solidFill>
              <a:latin typeface="BIZ UDPゴシック" panose="020B0400000000000000" pitchFamily="50" charset="-128"/>
              <a:ea typeface="BIZ UDPゴシック" panose="020B0400000000000000" pitchFamily="50" charset="-128"/>
            </a:rPr>
            <a:t>◎　下記①～⑨は、表の項目列①～⑨の入力について説明します。</a:t>
          </a:r>
          <a:endParaRPr kumimoji="1" lang="en-US" altLang="ja-JP" sz="1200" b="0" baseline="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baseline="0">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①　断熱対象部位の場合は「断熱部位」、断熱対象部位でない場合は「該当部位なし」を選択します。</a:t>
          </a: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②　選択肢　「直接入力」は、製品カタログやホームページに掲載がある断熱材の熱抵抗を直接入力する場合に選択します。</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（「⑨備考欄」に参照したカタログや</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WEB</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、製品名、メーカー名、厚さ</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[mm]</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、添付する根拠資料の名称、熱伝導率（わかる場合）の記載をします）。</a:t>
          </a: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選択肢　「断熱材の種類から入力」は、断熱材の種類と厚さから熱抵抗を計算する場合に選択します。</a:t>
          </a: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③　断熱工法を選択します。「外張」は軸組、枠組共通です。</a:t>
          </a: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④　断熱材の種類を選択します。使用する製品の「断熱材種類」が不明の場合は製品カタログも合わせてご確認ください。参考：シート　「登録値</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_</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断熱材</a:t>
          </a:r>
          <a:r>
            <a:rPr kumimoji="1" lang="el-GR" altLang="ja-JP" sz="1200" b="0">
              <a:solidFill>
                <a:sysClr val="windowText" lastClr="000000"/>
              </a:solidFill>
              <a:latin typeface="BIZ UDPゴシック" panose="020B0400000000000000" pitchFamily="50" charset="-128"/>
              <a:ea typeface="BIZ UDPゴシック" panose="020B0400000000000000" pitchFamily="50" charset="-128"/>
            </a:rPr>
            <a:t>λ</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値」</a:t>
          </a: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⑤　断熱材の種類を選択すると自動的に表示されます。</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JIS</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で定められた値です。</a:t>
          </a: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⑥　④で選択した断熱材の厚さをミリ単位で入力します。</a:t>
          </a: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⑦　熱抵抗</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R</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の計算は「厚さ</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熱伝導率」で計算し小数点第２位以下を切り捨てした値を表示します。製品カタログの値と異なる場合があります。</a:t>
          </a: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⑧　熱抵抗</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R</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を直接入力する場合は、製品カタログやホームページに掲載の値を入力します。設計値では小数点第２位以下を切り捨てした値を表示します。</a:t>
          </a: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⑨　熱抵抗</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R</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を直接入力した場合、参照した資料　製品名、メーカー名、・厚さ［㎜］、添付する根拠資料の名称、熱伝導率（わかる場合）を記載します。</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仕様表への表示は二行を想定しているため、改行を入れると文字が読めなくなる可能性があります。</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xdr:col>
      <xdr:colOff>230208</xdr:colOff>
      <xdr:row>4</xdr:row>
      <xdr:rowOff>243923</xdr:rowOff>
    </xdr:from>
    <xdr:to>
      <xdr:col>3</xdr:col>
      <xdr:colOff>230208</xdr:colOff>
      <xdr:row>6</xdr:row>
      <xdr:rowOff>3440798</xdr:rowOff>
    </xdr:to>
    <xdr:cxnSp macro="">
      <xdr:nvCxnSpPr>
        <xdr:cNvPr id="17" name="直線コネクタ 16">
          <a:extLst>
            <a:ext uri="{FF2B5EF4-FFF2-40B4-BE49-F238E27FC236}">
              <a16:creationId xmlns:a16="http://schemas.microsoft.com/office/drawing/2014/main" id="{D866CC2E-DFF0-4FFC-9DF5-CE41734AE834}"/>
            </a:ext>
          </a:extLst>
        </xdr:cNvPr>
        <xdr:cNvCxnSpPr/>
      </xdr:nvCxnSpPr>
      <xdr:spPr>
        <a:xfrm flipH="1">
          <a:off x="3206771" y="1053548"/>
          <a:ext cx="0" cy="3816000"/>
        </a:xfrm>
        <a:prstGeom prst="line">
          <a:avLst/>
        </a:prstGeom>
        <a:ln w="15875">
          <a:solidFill>
            <a:schemeClr val="tx1">
              <a:lumMod val="50000"/>
              <a:lumOff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231834</xdr:colOff>
      <xdr:row>22</xdr:row>
      <xdr:rowOff>38101</xdr:rowOff>
    </xdr:from>
    <xdr:to>
      <xdr:col>3</xdr:col>
      <xdr:colOff>231834</xdr:colOff>
      <xdr:row>22</xdr:row>
      <xdr:rowOff>2810101</xdr:rowOff>
    </xdr:to>
    <xdr:cxnSp macro="">
      <xdr:nvCxnSpPr>
        <xdr:cNvPr id="18" name="直線コネクタ 17">
          <a:extLst>
            <a:ext uri="{FF2B5EF4-FFF2-40B4-BE49-F238E27FC236}">
              <a16:creationId xmlns:a16="http://schemas.microsoft.com/office/drawing/2014/main" id="{D157468F-2118-4554-A435-E7A7BBBD332A}"/>
            </a:ext>
          </a:extLst>
        </xdr:cNvPr>
        <xdr:cNvCxnSpPr/>
      </xdr:nvCxnSpPr>
      <xdr:spPr>
        <a:xfrm flipH="1">
          <a:off x="3208397" y="10658476"/>
          <a:ext cx="0" cy="2772000"/>
        </a:xfrm>
        <a:prstGeom prst="line">
          <a:avLst/>
        </a:prstGeom>
        <a:ln w="15875">
          <a:solidFill>
            <a:schemeClr val="tx1">
              <a:lumMod val="50000"/>
              <a:lumOff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412754</xdr:colOff>
      <xdr:row>21</xdr:row>
      <xdr:rowOff>164027</xdr:rowOff>
    </xdr:from>
    <xdr:to>
      <xdr:col>21</xdr:col>
      <xdr:colOff>476249</xdr:colOff>
      <xdr:row>22</xdr:row>
      <xdr:rowOff>2964655</xdr:rowOff>
    </xdr:to>
    <xdr:sp macro="" textlink="">
      <xdr:nvSpPr>
        <xdr:cNvPr id="19" name="テキスト ボックス 18">
          <a:extLst>
            <a:ext uri="{FF2B5EF4-FFF2-40B4-BE49-F238E27FC236}">
              <a16:creationId xmlns:a16="http://schemas.microsoft.com/office/drawing/2014/main" id="{87D7BF36-88B7-4FFF-B0C1-6067B4E7851A}"/>
            </a:ext>
          </a:extLst>
        </xdr:cNvPr>
        <xdr:cNvSpPr txBox="1"/>
      </xdr:nvSpPr>
      <xdr:spPr>
        <a:xfrm>
          <a:off x="3389317" y="10617715"/>
          <a:ext cx="17827620" cy="29673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複数の仕様がある場合は、性能が低い仕様（熱貫流率 </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U </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が大きい方）を記入してください。</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下記①～⑨は、表の項目列①～⑨の入力について説明します。</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①　選択肢</a:t>
          </a:r>
          <a:r>
            <a:rPr kumimoji="1" lang="ja-JP"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「直接入力」　は、製品カタログやホームページ、自己適合宣言附属書から直接入力する方法です。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kumimoji="1" lang="ja-JP" altLang="ja-JP" sz="1100" b="0">
              <a:solidFill>
                <a:schemeClr val="tx1"/>
              </a:solidFill>
              <a:effectLst/>
              <a:latin typeface="+mn-lt"/>
              <a:ea typeface="+mn-ea"/>
              <a:cs typeface="+mn-cs"/>
            </a:rPr>
            <a:t> </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選択肢　「建具とガラスの組み合わせから入力」　は、建具、ガラスの仕様を選択して入力する方法です。参考：シート　「登録値</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_</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窓、ドアの</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U</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値</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el-GR"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η</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d</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値」</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kumimoji="1" lang="ja-JP" altLang="ja-JP" sz="1100" b="0">
              <a:solidFill>
                <a:schemeClr val="tx1"/>
              </a:solidFill>
              <a:effectLst/>
              <a:latin typeface="+mn-lt"/>
              <a:ea typeface="+mn-ea"/>
              <a:cs typeface="+mn-cs"/>
            </a:rPr>
            <a:t> </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選択肢　「建具とガラスの組み合わせから入力」　の場合、</a:t>
          </a: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設計値</a:t>
          </a:r>
          <a:r>
            <a:rPr kumimoji="1" lang="en-US" altLang="ja-JP" sz="1200" b="1">
              <a:solidFill>
                <a:sysClr val="windowText" lastClr="000000"/>
              </a:solidFill>
              <a:effectLst/>
              <a:latin typeface="BIZ UDPゴシック" panose="020B0400000000000000" pitchFamily="50" charset="-128"/>
              <a:ea typeface="BIZ UDPゴシック" panose="020B0400000000000000" pitchFamily="50" charset="-128"/>
              <a:cs typeface="+mn-cs"/>
            </a:rPr>
            <a:t>U</a:t>
          </a: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は小数点第２位を四捨五入した値　（例えば </a:t>
          </a:r>
          <a:r>
            <a:rPr kumimoji="1" lang="en-US" altLang="ja-JP" sz="1200" b="1">
              <a:solidFill>
                <a:sysClr val="windowText" lastClr="000000"/>
              </a:solidFill>
              <a:effectLst/>
              <a:latin typeface="BIZ UDPゴシック" panose="020B0400000000000000" pitchFamily="50" charset="-128"/>
              <a:ea typeface="BIZ UDPゴシック" panose="020B0400000000000000" pitchFamily="50" charset="-128"/>
              <a:cs typeface="+mn-cs"/>
            </a:rPr>
            <a:t>2.33→2.3 </a:t>
          </a: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等）　に読み替えて表示</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します。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②　建具の仕様を選択します。</a:t>
          </a:r>
          <a:r>
            <a:rPr kumimoji="1" lang="ja-JP" altLang="en-US" sz="1200" b="0">
              <a:solidFill>
                <a:srgbClr val="FF0066"/>
              </a:solidFill>
              <a:effectLst/>
              <a:latin typeface="BIZ UDPゴシック" panose="020B0400000000000000" pitchFamily="50" charset="-128"/>
              <a:ea typeface="BIZ UDPゴシック" panose="020B0400000000000000" pitchFamily="50" charset="-128"/>
              <a:cs typeface="+mn-cs"/>
            </a:rPr>
            <a:t>②⇒③⇒④⇒⑤の順に選択</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してください。全て選択後に窓の熱貫流率、日射熱取得率</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η</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が自動で表示されます。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「選択肢チェック」　に　「正しく選択されています」　以外が表示されている場合は、②⇒③⇒④⇒⑤の順に再度選択してください。　「選択肢チェック」　は表の一番右側に表示があります。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③　ガラスの仕様を選択します。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④　二層複層ガラス・三層複ガラスの場合は、中空層の仕様を選択します。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kumimoji="1" lang="ja-JP" altLang="ja-JP" sz="1100" b="0">
              <a:solidFill>
                <a:schemeClr val="tx1"/>
              </a:solidFill>
              <a:effectLst/>
              <a:latin typeface="+mn-lt"/>
              <a:ea typeface="+mn-ea"/>
              <a:cs typeface="+mn-cs"/>
            </a:rPr>
            <a:t> </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中空層の厚さなど仕様が未定・不明な場合は、最も性能が低い仕様（ガスの封入されていない</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_</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中空層が薄い仕様）を選択してください。</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⑤　窓の熱貫流率</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U</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を直接入力する場合は、製品カタログやホームページ、自己適合宣言附属書に記載の値を入力します。</a:t>
          </a: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設計値</a:t>
          </a:r>
          <a:r>
            <a:rPr kumimoji="1" lang="en-US" altLang="ja-JP" sz="1200" b="1">
              <a:solidFill>
                <a:sysClr val="windowText" lastClr="000000"/>
              </a:solidFill>
              <a:effectLst/>
              <a:latin typeface="BIZ UDPゴシック" panose="020B0400000000000000" pitchFamily="50" charset="-128"/>
              <a:ea typeface="BIZ UDPゴシック" panose="020B0400000000000000" pitchFamily="50" charset="-128"/>
              <a:cs typeface="+mn-cs"/>
            </a:rPr>
            <a:t>U</a:t>
          </a: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は小数点第２位を四捨五入した値　（例えば </a:t>
          </a:r>
          <a:r>
            <a:rPr kumimoji="1" lang="en-US" altLang="ja-JP" sz="1200" b="1">
              <a:solidFill>
                <a:sysClr val="windowText" lastClr="000000"/>
              </a:solidFill>
              <a:effectLst/>
              <a:latin typeface="BIZ UDPゴシック" panose="020B0400000000000000" pitchFamily="50" charset="-128"/>
              <a:ea typeface="BIZ UDPゴシック" panose="020B0400000000000000" pitchFamily="50" charset="-128"/>
              <a:cs typeface="+mn-cs"/>
            </a:rPr>
            <a:t>2.33→2.3 </a:t>
          </a: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等）　に読み替えて表示</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します。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⑥　①選択肢で「直接入力」を選択した場合、製品カタログやホームページ、自己適合宣言附属書の№を記載し、　</a:t>
          </a:r>
          <a:r>
            <a:rPr kumimoji="1" lang="en-US" altLang="ja-JP" sz="1200" b="1">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自己適合宣言書と同附属書</a:t>
          </a:r>
          <a:r>
            <a:rPr kumimoji="1" lang="en-US" altLang="ja-JP" sz="1200" b="1">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を添付してください。</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3</xdr:col>
      <xdr:colOff>233293</xdr:colOff>
      <xdr:row>31</xdr:row>
      <xdr:rowOff>27514</xdr:rowOff>
    </xdr:from>
    <xdr:to>
      <xdr:col>3</xdr:col>
      <xdr:colOff>233293</xdr:colOff>
      <xdr:row>31</xdr:row>
      <xdr:rowOff>2799514</xdr:rowOff>
    </xdr:to>
    <xdr:cxnSp macro="">
      <xdr:nvCxnSpPr>
        <xdr:cNvPr id="20" name="直線コネクタ 19">
          <a:extLst>
            <a:ext uri="{FF2B5EF4-FFF2-40B4-BE49-F238E27FC236}">
              <a16:creationId xmlns:a16="http://schemas.microsoft.com/office/drawing/2014/main" id="{FFD41A17-373C-4F55-834A-613C3804FF65}"/>
            </a:ext>
          </a:extLst>
        </xdr:cNvPr>
        <xdr:cNvCxnSpPr/>
      </xdr:nvCxnSpPr>
      <xdr:spPr>
        <a:xfrm flipH="1">
          <a:off x="3209856" y="15922358"/>
          <a:ext cx="0" cy="2772000"/>
        </a:xfrm>
        <a:prstGeom prst="line">
          <a:avLst/>
        </a:prstGeom>
        <a:ln w="15875">
          <a:solidFill>
            <a:schemeClr val="tx1">
              <a:lumMod val="50000"/>
              <a:lumOff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416717</xdr:colOff>
      <xdr:row>31</xdr:row>
      <xdr:rowOff>5281</xdr:rowOff>
    </xdr:from>
    <xdr:to>
      <xdr:col>21</xdr:col>
      <xdr:colOff>440531</xdr:colOff>
      <xdr:row>32</xdr:row>
      <xdr:rowOff>71437</xdr:rowOff>
    </xdr:to>
    <xdr:sp macro="" textlink="">
      <xdr:nvSpPr>
        <xdr:cNvPr id="21" name="テキスト ボックス 20">
          <a:extLst>
            <a:ext uri="{FF2B5EF4-FFF2-40B4-BE49-F238E27FC236}">
              <a16:creationId xmlns:a16="http://schemas.microsoft.com/office/drawing/2014/main" id="{97CEEE4C-3FDF-4066-AB5E-CC63BF77A986}"/>
            </a:ext>
          </a:extLst>
        </xdr:cNvPr>
        <xdr:cNvSpPr txBox="1"/>
      </xdr:nvSpPr>
      <xdr:spPr>
        <a:xfrm>
          <a:off x="3393280" y="15900125"/>
          <a:ext cx="17787939" cy="29474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複数の仕様がある場合は、性能が低い仕様（熱貫流率 </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U </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が大きい方）を記入してください。</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「枠と戸の組合せ入力」　で自動表示される熱貫流率Ｕは、　「ポストなしのドア」　の値です。ポストありドアは、　「直接入力」　を選択して入力してください。</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下記①～⑥は、表の項目列①～⑥の入力について説明します。</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①　選択肢</a:t>
          </a:r>
          <a:r>
            <a:rPr kumimoji="1" lang="ja-JP"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「直接入力」　は、製品カタログやホームページ、自己適合宣言附属書から直接入力する方法です。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選択肢　「枠と戸の組み合わせから入力」　は、枠、戸、ガラスの仕様を選択して入力する方法です。参考：シート　「登録値</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_</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窓、ドアの</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U</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値</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el-GR"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η</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d</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値」</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ja-JP" sz="1200" b="0">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en-US" sz="1200" b="0">
              <a:solidFill>
                <a:schemeClr val="tx1"/>
              </a:solidFill>
              <a:effectLst/>
              <a:latin typeface="BIZ UDPゴシック" panose="020B0400000000000000" pitchFamily="50" charset="-128"/>
              <a:ea typeface="BIZ UDPゴシック" panose="020B0400000000000000" pitchFamily="50" charset="-128"/>
              <a:cs typeface="+mn-cs"/>
            </a:rPr>
            <a:t>　 選択肢　「枠と戸の組み合わせから入力」　の場合、</a:t>
          </a:r>
          <a:r>
            <a:rPr kumimoji="1" lang="ja-JP" altLang="en-US" sz="1200" b="1">
              <a:solidFill>
                <a:schemeClr val="tx1"/>
              </a:solidFill>
              <a:effectLst/>
              <a:latin typeface="BIZ UDPゴシック" panose="020B0400000000000000" pitchFamily="50" charset="-128"/>
              <a:ea typeface="BIZ UDPゴシック" panose="020B0400000000000000" pitchFamily="50" charset="-128"/>
              <a:cs typeface="+mn-cs"/>
            </a:rPr>
            <a:t>設計値</a:t>
          </a:r>
          <a:r>
            <a:rPr kumimoji="1" lang="en-US" altLang="ja-JP" sz="1200" b="1">
              <a:solidFill>
                <a:schemeClr val="tx1"/>
              </a:solidFill>
              <a:effectLst/>
              <a:latin typeface="BIZ UDPゴシック" panose="020B0400000000000000" pitchFamily="50" charset="-128"/>
              <a:ea typeface="BIZ UDPゴシック" panose="020B0400000000000000" pitchFamily="50" charset="-128"/>
              <a:cs typeface="+mn-cs"/>
            </a:rPr>
            <a:t>U</a:t>
          </a:r>
          <a:r>
            <a:rPr kumimoji="1" lang="ja-JP" altLang="en-US" sz="1200" b="1">
              <a:solidFill>
                <a:schemeClr val="tx1"/>
              </a:solidFill>
              <a:effectLst/>
              <a:latin typeface="BIZ UDPゴシック" panose="020B0400000000000000" pitchFamily="50" charset="-128"/>
              <a:ea typeface="BIZ UDPゴシック" panose="020B0400000000000000" pitchFamily="50" charset="-128"/>
              <a:cs typeface="+mn-cs"/>
            </a:rPr>
            <a:t>は小数点第２位を四捨五入した値　（例えば </a:t>
          </a:r>
          <a:r>
            <a:rPr kumimoji="1" lang="en-US" altLang="ja-JP" sz="1200" b="1">
              <a:solidFill>
                <a:schemeClr val="tx1"/>
              </a:solidFill>
              <a:effectLst/>
              <a:latin typeface="BIZ UDPゴシック" panose="020B0400000000000000" pitchFamily="50" charset="-128"/>
              <a:ea typeface="BIZ UDPゴシック" panose="020B0400000000000000" pitchFamily="50" charset="-128"/>
              <a:cs typeface="+mn-cs"/>
            </a:rPr>
            <a:t>2.33→2.3 </a:t>
          </a:r>
          <a:r>
            <a:rPr kumimoji="1" lang="ja-JP" altLang="en-US" sz="1200" b="1">
              <a:solidFill>
                <a:schemeClr val="tx1"/>
              </a:solidFill>
              <a:effectLst/>
              <a:latin typeface="BIZ UDPゴシック" panose="020B0400000000000000" pitchFamily="50" charset="-128"/>
              <a:ea typeface="BIZ UDPゴシック" panose="020B0400000000000000" pitchFamily="50" charset="-128"/>
              <a:cs typeface="+mn-cs"/>
            </a:rPr>
            <a:t>等）　に読み替えて表示</a:t>
          </a:r>
          <a:r>
            <a:rPr kumimoji="1" lang="ja-JP" altLang="en-US" sz="1200" b="0">
              <a:solidFill>
                <a:schemeClr val="tx1"/>
              </a:solidFill>
              <a:effectLst/>
              <a:latin typeface="BIZ UDPゴシック" panose="020B0400000000000000" pitchFamily="50" charset="-128"/>
              <a:ea typeface="BIZ UDPゴシック" panose="020B0400000000000000" pitchFamily="50" charset="-128"/>
              <a:cs typeface="+mn-cs"/>
            </a:rPr>
            <a:t>します。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②　枠の仕様を選択します。</a:t>
          </a:r>
          <a:r>
            <a:rPr kumimoji="1" lang="ja-JP" altLang="en-US" sz="1200" b="0">
              <a:solidFill>
                <a:srgbClr val="FF0066"/>
              </a:solidFill>
              <a:effectLst/>
              <a:latin typeface="BIZ UDPゴシック" panose="020B0400000000000000" pitchFamily="50" charset="-128"/>
              <a:ea typeface="BIZ UDPゴシック" panose="020B0400000000000000" pitchFamily="50" charset="-128"/>
              <a:cs typeface="+mn-cs"/>
            </a:rPr>
            <a:t>②⇒③⇒④の順に選択</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してください。全て選択後にドアの熱貫流率が自動で表示されます。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kumimoji="1" lang="ja-JP" altLang="en-US" sz="1200" b="0" baseline="0">
              <a:solidFill>
                <a:sysClr val="windowText" lastClr="000000"/>
              </a:solidFill>
              <a:effectLst/>
              <a:latin typeface="BIZ UDPゴシック" panose="020B0400000000000000" pitchFamily="50" charset="-128"/>
              <a:ea typeface="BIZ UDPゴシック" panose="020B0400000000000000" pitchFamily="50" charset="-128"/>
              <a:cs typeface="+mn-cs"/>
            </a:rPr>
            <a:t> 　　　「選択肢チェック」　に　「正しく選択されています」　以外が表示されている場合は、②⇒③⇒④の順に再度選択してください。</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③　戸の仕様を選択します。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④　ガラスの仕様、中空層の仕様を選択します。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⑤　ドアの熱貫流率</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U</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を直接入力する場合は、製品カタログやホームページ、自己適合宣言附属書に記載の値を入力します。</a:t>
          </a: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設計値</a:t>
          </a:r>
          <a:r>
            <a:rPr kumimoji="1" lang="en-US" altLang="ja-JP" sz="1200" b="1">
              <a:solidFill>
                <a:sysClr val="windowText" lastClr="000000"/>
              </a:solidFill>
              <a:effectLst/>
              <a:latin typeface="BIZ UDPゴシック" panose="020B0400000000000000" pitchFamily="50" charset="-128"/>
              <a:ea typeface="BIZ UDPゴシック" panose="020B0400000000000000" pitchFamily="50" charset="-128"/>
              <a:cs typeface="+mn-cs"/>
            </a:rPr>
            <a:t>U</a:t>
          </a: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は小数点第２位を四捨五入した値　（例えば </a:t>
          </a:r>
          <a:r>
            <a:rPr kumimoji="1" lang="en-US" altLang="ja-JP" sz="1200" b="1">
              <a:solidFill>
                <a:sysClr val="windowText" lastClr="000000"/>
              </a:solidFill>
              <a:effectLst/>
              <a:latin typeface="BIZ UDPゴシック" panose="020B0400000000000000" pitchFamily="50" charset="-128"/>
              <a:ea typeface="BIZ UDPゴシック" panose="020B0400000000000000" pitchFamily="50" charset="-128"/>
              <a:cs typeface="+mn-cs"/>
            </a:rPr>
            <a:t>2.33→2.3 </a:t>
          </a: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等）　に読み替えて表示</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します。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⑥　①選択肢で「直接入力」を選択した場合、製品カタログやホームページ、自己適合宣言附属書の№を記載し、　</a:t>
          </a:r>
          <a:r>
            <a:rPr kumimoji="1" lang="en-US" altLang="ja-JP" sz="1200" b="1">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自己適合宣言書と同附属書</a:t>
          </a:r>
          <a:r>
            <a:rPr kumimoji="1" lang="en-US" altLang="ja-JP" sz="1200" b="1">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を添付してください。</a:t>
          </a:r>
        </a:p>
        <a:p>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16</xdr:col>
      <xdr:colOff>535787</xdr:colOff>
      <xdr:row>0</xdr:row>
      <xdr:rowOff>95254</xdr:rowOff>
    </xdr:from>
    <xdr:to>
      <xdr:col>18</xdr:col>
      <xdr:colOff>683631</xdr:colOff>
      <xdr:row>2</xdr:row>
      <xdr:rowOff>98373</xdr:rowOff>
    </xdr:to>
    <xdr:sp macro="" textlink="">
      <xdr:nvSpPr>
        <xdr:cNvPr id="22" name="四角形: 角を丸くする 21">
          <a:extLst>
            <a:ext uri="{FF2B5EF4-FFF2-40B4-BE49-F238E27FC236}">
              <a16:creationId xmlns:a16="http://schemas.microsoft.com/office/drawing/2014/main" id="{52D6952B-5E26-4BAB-BF69-8609C0B6FFC4}"/>
            </a:ext>
          </a:extLst>
        </xdr:cNvPr>
        <xdr:cNvSpPr/>
      </xdr:nvSpPr>
      <xdr:spPr>
        <a:xfrm>
          <a:off x="16280612" y="95254"/>
          <a:ext cx="2148094" cy="536519"/>
        </a:xfrm>
        <a:prstGeom prst="roundRect">
          <a:avLst/>
        </a:prstGeom>
        <a:solidFill>
          <a:schemeClr val="tx2">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17</xdr:col>
      <xdr:colOff>630480</xdr:colOff>
      <xdr:row>0</xdr:row>
      <xdr:rowOff>142879</xdr:rowOff>
    </xdr:from>
    <xdr:ext cx="697627" cy="425758"/>
    <xdr:sp macro="" textlink="">
      <xdr:nvSpPr>
        <xdr:cNvPr id="23" name="テキスト ボックス 22">
          <a:extLst>
            <a:ext uri="{FF2B5EF4-FFF2-40B4-BE49-F238E27FC236}">
              <a16:creationId xmlns:a16="http://schemas.microsoft.com/office/drawing/2014/main" id="{8B2A9255-AA11-4933-864B-F03E1C257ED4}"/>
            </a:ext>
          </a:extLst>
        </xdr:cNvPr>
        <xdr:cNvSpPr txBox="1"/>
      </xdr:nvSpPr>
      <xdr:spPr>
        <a:xfrm>
          <a:off x="17346855" y="142879"/>
          <a:ext cx="697627"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b="1">
              <a:solidFill>
                <a:schemeClr val="bg1"/>
              </a:solidFill>
              <a:latin typeface="BIZ UDPゴシック" panose="020B0400000000000000" pitchFamily="50" charset="-128"/>
              <a:ea typeface="BIZ UDPゴシック" panose="020B0400000000000000" pitchFamily="50" charset="-128"/>
            </a:rPr>
            <a:t>印刷</a:t>
          </a:r>
          <a:endParaRPr kumimoji="1" lang="en-US" altLang="ja-JP" sz="2000" b="1">
            <a:solidFill>
              <a:schemeClr val="bg1"/>
            </a:solidFill>
            <a:latin typeface="BIZ UDPゴシック" panose="020B0400000000000000" pitchFamily="50" charset="-128"/>
            <a:ea typeface="BIZ UDPゴシック" panose="020B0400000000000000" pitchFamily="50" charset="-128"/>
          </a:endParaRPr>
        </a:p>
      </xdr:txBody>
    </xdr:sp>
    <xdr:clientData/>
  </xdr:oneCellAnchor>
  <xdr:twoCellAnchor editAs="oneCell">
    <xdr:from>
      <xdr:col>16</xdr:col>
      <xdr:colOff>827489</xdr:colOff>
      <xdr:row>0</xdr:row>
      <xdr:rowOff>136924</xdr:rowOff>
    </xdr:from>
    <xdr:to>
      <xdr:col>17</xdr:col>
      <xdr:colOff>307968</xdr:colOff>
      <xdr:row>2</xdr:row>
      <xdr:rowOff>69143</xdr:rowOff>
    </xdr:to>
    <xdr:pic>
      <xdr:nvPicPr>
        <xdr:cNvPr id="24" name="グラフィックス 22" descr="プリンター 単色塗りつぶし">
          <a:extLst>
            <a:ext uri="{FF2B5EF4-FFF2-40B4-BE49-F238E27FC236}">
              <a16:creationId xmlns:a16="http://schemas.microsoft.com/office/drawing/2014/main" id="{ABF5216B-0B02-4204-9600-E20596D5054E}"/>
            </a:ext>
          </a:extLst>
        </xdr:cNvPr>
        <xdr:cNvPicPr>
          <a:picLocks noChangeAspect="1"/>
        </xdr:cNvPicPr>
      </xdr:nvPicPr>
      <xdr:blipFill>
        <a:blip xmlns:r="http://schemas.openxmlformats.org/officeDocument/2006/relationships"/>
        <a:stretch>
          <a:fillRect/>
        </a:stretch>
      </xdr:blipFill>
      <xdr:spPr>
        <a:xfrm>
          <a:off x="16572314" y="136924"/>
          <a:ext cx="452029" cy="465619"/>
        </a:xfrm>
        <a:prstGeom prst="rect">
          <a:avLst/>
        </a:prstGeom>
      </xdr:spPr>
    </xdr:pic>
    <xdr:clientData/>
  </xdr:twoCellAnchor>
  <xdr:oneCellAnchor>
    <xdr:from>
      <xdr:col>1</xdr:col>
      <xdr:colOff>790572</xdr:colOff>
      <xdr:row>5</xdr:row>
      <xdr:rowOff>4767</xdr:rowOff>
    </xdr:from>
    <xdr:ext cx="1975862" cy="392415"/>
    <xdr:sp macro="" textlink="">
      <xdr:nvSpPr>
        <xdr:cNvPr id="29" name="テキスト ボックス 28">
          <a:extLst>
            <a:ext uri="{FF2B5EF4-FFF2-40B4-BE49-F238E27FC236}">
              <a16:creationId xmlns:a16="http://schemas.microsoft.com/office/drawing/2014/main" id="{D20014D1-CA17-4D97-83F3-7CC1D0C57973}"/>
            </a:ext>
          </a:extLst>
        </xdr:cNvPr>
        <xdr:cNvSpPr txBox="1"/>
      </xdr:nvSpPr>
      <xdr:spPr>
        <a:xfrm>
          <a:off x="1038222" y="1119192"/>
          <a:ext cx="1975862"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b="1">
              <a:latin typeface="BIZ UDPゴシック" panose="020B0400000000000000" pitchFamily="50" charset="-128"/>
              <a:ea typeface="BIZ UDPゴシック" panose="020B0400000000000000" pitchFamily="50" charset="-128"/>
            </a:rPr>
            <a:t>断熱材の熱抵抗</a:t>
          </a:r>
          <a:r>
            <a:rPr kumimoji="1" lang="en-US" altLang="ja-JP" sz="1800" b="1">
              <a:latin typeface="BIZ UDPゴシック" panose="020B0400000000000000" pitchFamily="50" charset="-128"/>
              <a:ea typeface="BIZ UDPゴシック" panose="020B0400000000000000" pitchFamily="50" charset="-128"/>
            </a:rPr>
            <a:t>R</a:t>
          </a:r>
          <a:endParaRPr kumimoji="1" lang="ja-JP" altLang="en-US" sz="1800" b="1">
            <a:latin typeface="BIZ UDPゴシック" panose="020B0400000000000000" pitchFamily="50" charset="-128"/>
            <a:ea typeface="BIZ UDPゴシック" panose="020B0400000000000000" pitchFamily="50" charset="-128"/>
          </a:endParaRPr>
        </a:p>
      </xdr:txBody>
    </xdr:sp>
    <xdr:clientData/>
  </xdr:oneCellAnchor>
  <xdr:twoCellAnchor editAs="oneCell">
    <xdr:from>
      <xdr:col>1</xdr:col>
      <xdr:colOff>14283</xdr:colOff>
      <xdr:row>4</xdr:row>
      <xdr:rowOff>209328</xdr:rowOff>
    </xdr:from>
    <xdr:to>
      <xdr:col>1</xdr:col>
      <xdr:colOff>726819</xdr:colOff>
      <xdr:row>6</xdr:row>
      <xdr:rowOff>310203</xdr:rowOff>
    </xdr:to>
    <xdr:pic>
      <xdr:nvPicPr>
        <xdr:cNvPr id="30" name="図 29">
          <a:extLst>
            <a:ext uri="{FF2B5EF4-FFF2-40B4-BE49-F238E27FC236}">
              <a16:creationId xmlns:a16="http://schemas.microsoft.com/office/drawing/2014/main" id="{C02E003D-753D-4931-924E-ACC8601A3D86}"/>
            </a:ext>
          </a:extLst>
        </xdr:cNvPr>
        <xdr:cNvPicPr>
          <a:picLocks noChangeAspect="1"/>
        </xdr:cNvPicPr>
      </xdr:nvPicPr>
      <xdr:blipFill>
        <a:blip xmlns:r="http://schemas.openxmlformats.org/officeDocument/2006/relationships" r:embed="rId3"/>
        <a:stretch>
          <a:fillRect/>
        </a:stretch>
      </xdr:blipFill>
      <xdr:spPr>
        <a:xfrm>
          <a:off x="261933" y="1018953"/>
          <a:ext cx="712536" cy="710475"/>
        </a:xfrm>
        <a:prstGeom prst="rect">
          <a:avLst/>
        </a:prstGeom>
      </xdr:spPr>
    </xdr:pic>
    <xdr:clientData/>
  </xdr:twoCellAnchor>
  <xdr:twoCellAnchor editAs="oneCell">
    <xdr:from>
      <xdr:col>0</xdr:col>
      <xdr:colOff>247647</xdr:colOff>
      <xdr:row>22</xdr:row>
      <xdr:rowOff>47627</xdr:rowOff>
    </xdr:from>
    <xdr:to>
      <xdr:col>1</xdr:col>
      <xdr:colOff>721251</xdr:colOff>
      <xdr:row>22</xdr:row>
      <xdr:rowOff>767627</xdr:rowOff>
    </xdr:to>
    <xdr:pic>
      <xdr:nvPicPr>
        <xdr:cNvPr id="31" name="図 30">
          <a:extLst>
            <a:ext uri="{FF2B5EF4-FFF2-40B4-BE49-F238E27FC236}">
              <a16:creationId xmlns:a16="http://schemas.microsoft.com/office/drawing/2014/main" id="{837D5EB8-4ED2-40A2-9676-0567DEAA4FBF}"/>
            </a:ext>
          </a:extLst>
        </xdr:cNvPr>
        <xdr:cNvPicPr>
          <a:picLocks noChangeAspect="1"/>
        </xdr:cNvPicPr>
      </xdr:nvPicPr>
      <xdr:blipFill>
        <a:blip xmlns:r="http://schemas.openxmlformats.org/officeDocument/2006/relationships" r:embed="rId4"/>
        <a:stretch>
          <a:fillRect/>
        </a:stretch>
      </xdr:blipFill>
      <xdr:spPr>
        <a:xfrm>
          <a:off x="247647" y="10458452"/>
          <a:ext cx="721254" cy="720000"/>
        </a:xfrm>
        <a:prstGeom prst="rect">
          <a:avLst/>
        </a:prstGeom>
      </xdr:spPr>
    </xdr:pic>
    <xdr:clientData/>
  </xdr:twoCellAnchor>
  <xdr:oneCellAnchor>
    <xdr:from>
      <xdr:col>1</xdr:col>
      <xdr:colOff>809625</xdr:colOff>
      <xdr:row>22</xdr:row>
      <xdr:rowOff>61386</xdr:rowOff>
    </xdr:from>
    <xdr:ext cx="1306512" cy="692497"/>
    <xdr:sp macro="" textlink="">
      <xdr:nvSpPr>
        <xdr:cNvPr id="32" name="テキスト ボックス 31">
          <a:extLst>
            <a:ext uri="{FF2B5EF4-FFF2-40B4-BE49-F238E27FC236}">
              <a16:creationId xmlns:a16="http://schemas.microsoft.com/office/drawing/2014/main" id="{5D078A0E-C9CF-4DB2-B5A0-3B343A875819}"/>
            </a:ext>
          </a:extLst>
        </xdr:cNvPr>
        <xdr:cNvSpPr txBox="1"/>
      </xdr:nvSpPr>
      <xdr:spPr>
        <a:xfrm>
          <a:off x="1053042" y="10411886"/>
          <a:ext cx="1306512" cy="6924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b="1">
              <a:latin typeface="BIZ UDPゴシック" panose="020B0400000000000000" pitchFamily="50" charset="-128"/>
              <a:ea typeface="BIZ UDPゴシック" panose="020B0400000000000000" pitchFamily="50" charset="-128"/>
            </a:rPr>
            <a:t>窓の</a:t>
          </a:r>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熱貫流率</a:t>
          </a:r>
          <a:r>
            <a:rPr kumimoji="1" lang="en-US" altLang="ja-JP" sz="1800" b="1">
              <a:latin typeface="BIZ UDPゴシック" panose="020B0400000000000000" pitchFamily="50" charset="-128"/>
              <a:ea typeface="BIZ UDPゴシック" panose="020B0400000000000000" pitchFamily="50" charset="-128"/>
            </a:rPr>
            <a:t>U</a:t>
          </a:r>
          <a:endParaRPr kumimoji="1" lang="ja-JP" altLang="en-US" sz="1800" b="1">
            <a:latin typeface="BIZ UDPゴシック" panose="020B0400000000000000" pitchFamily="50" charset="-128"/>
            <a:ea typeface="BIZ UDPゴシック" panose="020B0400000000000000" pitchFamily="50" charset="-128"/>
          </a:endParaRPr>
        </a:p>
      </xdr:txBody>
    </xdr:sp>
    <xdr:clientData/>
  </xdr:oneCellAnchor>
  <xdr:twoCellAnchor editAs="oneCell">
    <xdr:from>
      <xdr:col>0</xdr:col>
      <xdr:colOff>238125</xdr:colOff>
      <xdr:row>31</xdr:row>
      <xdr:rowOff>40470</xdr:rowOff>
    </xdr:from>
    <xdr:to>
      <xdr:col>1</xdr:col>
      <xdr:colOff>711729</xdr:colOff>
      <xdr:row>31</xdr:row>
      <xdr:rowOff>760470</xdr:rowOff>
    </xdr:to>
    <xdr:pic>
      <xdr:nvPicPr>
        <xdr:cNvPr id="33" name="図 32">
          <a:extLst>
            <a:ext uri="{FF2B5EF4-FFF2-40B4-BE49-F238E27FC236}">
              <a16:creationId xmlns:a16="http://schemas.microsoft.com/office/drawing/2014/main" id="{B58FF4AA-3A51-4F7B-B2DE-45722FB2C89D}"/>
            </a:ext>
          </a:extLst>
        </xdr:cNvPr>
        <xdr:cNvPicPr>
          <a:picLocks noChangeAspect="1"/>
        </xdr:cNvPicPr>
      </xdr:nvPicPr>
      <xdr:blipFill>
        <a:blip xmlns:r="http://schemas.openxmlformats.org/officeDocument/2006/relationships" r:embed="rId4"/>
        <a:stretch>
          <a:fillRect/>
        </a:stretch>
      </xdr:blipFill>
      <xdr:spPr>
        <a:xfrm>
          <a:off x="238125" y="17976045"/>
          <a:ext cx="721254" cy="720000"/>
        </a:xfrm>
        <a:prstGeom prst="rect">
          <a:avLst/>
        </a:prstGeom>
      </xdr:spPr>
    </xdr:pic>
    <xdr:clientData/>
  </xdr:twoCellAnchor>
  <xdr:oneCellAnchor>
    <xdr:from>
      <xdr:col>1</xdr:col>
      <xdr:colOff>800103</xdr:colOff>
      <xdr:row>31</xdr:row>
      <xdr:rowOff>71427</xdr:rowOff>
    </xdr:from>
    <xdr:ext cx="1306512" cy="692497"/>
    <xdr:sp macro="" textlink="">
      <xdr:nvSpPr>
        <xdr:cNvPr id="34" name="テキスト ボックス 33">
          <a:extLst>
            <a:ext uri="{FF2B5EF4-FFF2-40B4-BE49-F238E27FC236}">
              <a16:creationId xmlns:a16="http://schemas.microsoft.com/office/drawing/2014/main" id="{2033625F-B57C-4BE7-AD86-0887A8D48434}"/>
            </a:ext>
          </a:extLst>
        </xdr:cNvPr>
        <xdr:cNvSpPr txBox="1"/>
      </xdr:nvSpPr>
      <xdr:spPr>
        <a:xfrm>
          <a:off x="1047753" y="18007002"/>
          <a:ext cx="1306512" cy="6924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b="1">
              <a:latin typeface="BIZ UDPゴシック" panose="020B0400000000000000" pitchFamily="50" charset="-128"/>
              <a:ea typeface="BIZ UDPゴシック" panose="020B0400000000000000" pitchFamily="50" charset="-128"/>
            </a:rPr>
            <a:t>ドアの</a:t>
          </a:r>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熱貫流率</a:t>
          </a:r>
          <a:r>
            <a:rPr kumimoji="1" lang="en-US" altLang="ja-JP" sz="1800" b="1">
              <a:latin typeface="BIZ UDPゴシック" panose="020B0400000000000000" pitchFamily="50" charset="-128"/>
              <a:ea typeface="BIZ UDPゴシック" panose="020B0400000000000000" pitchFamily="50" charset="-128"/>
            </a:rPr>
            <a:t>U</a:t>
          </a:r>
        </a:p>
      </xdr:txBody>
    </xdr:sp>
    <xdr:clientData/>
  </xdr:oneCellAnchor>
  <xdr:twoCellAnchor editAs="oneCell">
    <xdr:from>
      <xdr:col>1</xdr:col>
      <xdr:colOff>23813</xdr:colOff>
      <xdr:row>39</xdr:row>
      <xdr:rowOff>154771</xdr:rowOff>
    </xdr:from>
    <xdr:to>
      <xdr:col>1</xdr:col>
      <xdr:colOff>743813</xdr:colOff>
      <xdr:row>40</xdr:row>
      <xdr:rowOff>708083</xdr:rowOff>
    </xdr:to>
    <xdr:pic>
      <xdr:nvPicPr>
        <xdr:cNvPr id="35" name="図 34">
          <a:extLst>
            <a:ext uri="{FF2B5EF4-FFF2-40B4-BE49-F238E27FC236}">
              <a16:creationId xmlns:a16="http://schemas.microsoft.com/office/drawing/2014/main" id="{AF106E8A-9669-4A60-BFDA-BE35DDF50DA7}"/>
            </a:ext>
          </a:extLst>
        </xdr:cNvPr>
        <xdr:cNvPicPr>
          <a:picLocks noChangeAspect="1"/>
        </xdr:cNvPicPr>
      </xdr:nvPicPr>
      <xdr:blipFill>
        <a:blip xmlns:r="http://schemas.openxmlformats.org/officeDocument/2006/relationships" r:embed="rId5"/>
        <a:stretch>
          <a:fillRect/>
        </a:stretch>
      </xdr:blipFill>
      <xdr:spPr>
        <a:xfrm>
          <a:off x="271463" y="22795696"/>
          <a:ext cx="720000" cy="724763"/>
        </a:xfrm>
        <a:prstGeom prst="rect">
          <a:avLst/>
        </a:prstGeom>
      </xdr:spPr>
    </xdr:pic>
    <xdr:clientData/>
  </xdr:twoCellAnchor>
  <xdr:oneCellAnchor>
    <xdr:from>
      <xdr:col>1</xdr:col>
      <xdr:colOff>821532</xdr:colOff>
      <xdr:row>40</xdr:row>
      <xdr:rowOff>83329</xdr:rowOff>
    </xdr:from>
    <xdr:ext cx="1800493" cy="392415"/>
    <xdr:sp macro="" textlink="">
      <xdr:nvSpPr>
        <xdr:cNvPr id="36" name="テキスト ボックス 35">
          <a:extLst>
            <a:ext uri="{FF2B5EF4-FFF2-40B4-BE49-F238E27FC236}">
              <a16:creationId xmlns:a16="http://schemas.microsoft.com/office/drawing/2014/main" id="{87E36625-6358-43CA-B828-580C452683C9}"/>
            </a:ext>
          </a:extLst>
        </xdr:cNvPr>
        <xdr:cNvSpPr txBox="1"/>
      </xdr:nvSpPr>
      <xdr:spPr>
        <a:xfrm>
          <a:off x="1069182" y="22895704"/>
          <a:ext cx="1800493"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b="1">
              <a:latin typeface="BIZ UDPゴシック" panose="020B0400000000000000" pitchFamily="50" charset="-128"/>
              <a:ea typeface="BIZ UDPゴシック" panose="020B0400000000000000" pitchFamily="50" charset="-128"/>
            </a:rPr>
            <a:t>設備機器の仕様</a:t>
          </a:r>
          <a:endParaRPr kumimoji="1" lang="en-US" altLang="ja-JP" sz="1800" b="1">
            <a:latin typeface="BIZ UDPゴシック" panose="020B0400000000000000" pitchFamily="50" charset="-128"/>
            <a:ea typeface="BIZ UDPゴシック" panose="020B0400000000000000"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2</xdr:col>
          <xdr:colOff>647700</xdr:colOff>
          <xdr:row>41</xdr:row>
          <xdr:rowOff>19050</xdr:rowOff>
        </xdr:from>
        <xdr:to>
          <xdr:col>3</xdr:col>
          <xdr:colOff>66675</xdr:colOff>
          <xdr:row>41</xdr:row>
          <xdr:rowOff>371475</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2880C56D-AC70-4B3D-A03C-11E68DE6E6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41</xdr:row>
          <xdr:rowOff>371475</xdr:rowOff>
        </xdr:from>
        <xdr:to>
          <xdr:col>3</xdr:col>
          <xdr:colOff>66675</xdr:colOff>
          <xdr:row>42</xdr:row>
          <xdr:rowOff>371475</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2E53E1D1-4AC1-4ACB-B9B5-33FE171982F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59</xdr:row>
          <xdr:rowOff>9525</xdr:rowOff>
        </xdr:from>
        <xdr:to>
          <xdr:col>3</xdr:col>
          <xdr:colOff>76200</xdr:colOff>
          <xdr:row>60</xdr:row>
          <xdr:rowOff>0</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AFB2AF8F-2306-44C3-86A0-A3B6C4CB08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676275</xdr:colOff>
          <xdr:row>43</xdr:row>
          <xdr:rowOff>9525</xdr:rowOff>
        </xdr:from>
        <xdr:to>
          <xdr:col>6</xdr:col>
          <xdr:colOff>66675</xdr:colOff>
          <xdr:row>44</xdr:row>
          <xdr:rowOff>0</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42C903C1-8D10-48D5-9738-D226E94F5CA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676275</xdr:colOff>
          <xdr:row>48</xdr:row>
          <xdr:rowOff>9525</xdr:rowOff>
        </xdr:from>
        <xdr:to>
          <xdr:col>6</xdr:col>
          <xdr:colOff>66675</xdr:colOff>
          <xdr:row>49</xdr:row>
          <xdr:rowOff>0</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1BDA9864-A194-4D1A-8B5F-8989ABD6690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714375</xdr:colOff>
          <xdr:row>45</xdr:row>
          <xdr:rowOff>9525</xdr:rowOff>
        </xdr:from>
        <xdr:to>
          <xdr:col>7</xdr:col>
          <xdr:colOff>123825</xdr:colOff>
          <xdr:row>46</xdr:row>
          <xdr:rowOff>0</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51C4F0F1-5F98-4497-9BE1-5C4E505A25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723900</xdr:colOff>
          <xdr:row>46</xdr:row>
          <xdr:rowOff>9525</xdr:rowOff>
        </xdr:from>
        <xdr:to>
          <xdr:col>7</xdr:col>
          <xdr:colOff>104775</xdr:colOff>
          <xdr:row>47</xdr:row>
          <xdr:rowOff>0</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100A40F0-B207-4F83-9A11-E15EF75FD9D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723900</xdr:colOff>
          <xdr:row>47</xdr:row>
          <xdr:rowOff>9525</xdr:rowOff>
        </xdr:from>
        <xdr:to>
          <xdr:col>7</xdr:col>
          <xdr:colOff>104775</xdr:colOff>
          <xdr:row>48</xdr:row>
          <xdr:rowOff>0</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DE7A47FA-55B1-4F4D-8A3D-AB4055953B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69</xdr:row>
          <xdr:rowOff>9525</xdr:rowOff>
        </xdr:from>
        <xdr:to>
          <xdr:col>3</xdr:col>
          <xdr:colOff>47625</xdr:colOff>
          <xdr:row>70</xdr:row>
          <xdr:rowOff>0</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2AE67D18-0286-4F32-89CE-004FD928F7F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70</xdr:row>
          <xdr:rowOff>9525</xdr:rowOff>
        </xdr:from>
        <xdr:to>
          <xdr:col>3</xdr:col>
          <xdr:colOff>47625</xdr:colOff>
          <xdr:row>71</xdr:row>
          <xdr:rowOff>0</xdr:rowOff>
        </xdr:to>
        <xdr:sp macro="" textlink="">
          <xdr:nvSpPr>
            <xdr:cNvPr id="19467" name="Check Box 11" hidden="1">
              <a:extLst>
                <a:ext uri="{63B3BB69-23CF-44E3-9099-C40C66FF867C}">
                  <a14:compatExt spid="_x0000_s19467"/>
                </a:ext>
                <a:ext uri="{FF2B5EF4-FFF2-40B4-BE49-F238E27FC236}">
                  <a16:creationId xmlns:a16="http://schemas.microsoft.com/office/drawing/2014/main" id="{766E71AD-EE75-45E0-A7DF-E00F9EAEB89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71</xdr:row>
          <xdr:rowOff>9525</xdr:rowOff>
        </xdr:from>
        <xdr:to>
          <xdr:col>3</xdr:col>
          <xdr:colOff>47625</xdr:colOff>
          <xdr:row>72</xdr:row>
          <xdr:rowOff>0</xdr:rowOff>
        </xdr:to>
        <xdr:sp macro="" textlink="">
          <xdr:nvSpPr>
            <xdr:cNvPr id="19468" name="Check Box 12" hidden="1">
              <a:extLst>
                <a:ext uri="{63B3BB69-23CF-44E3-9099-C40C66FF867C}">
                  <a14:compatExt spid="_x0000_s19468"/>
                </a:ext>
                <a:ext uri="{FF2B5EF4-FFF2-40B4-BE49-F238E27FC236}">
                  <a16:creationId xmlns:a16="http://schemas.microsoft.com/office/drawing/2014/main" id="{7B7B3154-A226-44AD-B4E0-3DC7558DB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72</xdr:row>
          <xdr:rowOff>9525</xdr:rowOff>
        </xdr:from>
        <xdr:to>
          <xdr:col>3</xdr:col>
          <xdr:colOff>47625</xdr:colOff>
          <xdr:row>73</xdr:row>
          <xdr:rowOff>0</xdr:rowOff>
        </xdr:to>
        <xdr:sp macro="" textlink="">
          <xdr:nvSpPr>
            <xdr:cNvPr id="19469" name="Check Box 13" hidden="1">
              <a:extLst>
                <a:ext uri="{63B3BB69-23CF-44E3-9099-C40C66FF867C}">
                  <a14:compatExt spid="_x0000_s19469"/>
                </a:ext>
                <a:ext uri="{FF2B5EF4-FFF2-40B4-BE49-F238E27FC236}">
                  <a16:creationId xmlns:a16="http://schemas.microsoft.com/office/drawing/2014/main" id="{8A89C292-5AB5-4FBC-AD34-59D4677DC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74</xdr:row>
          <xdr:rowOff>9525</xdr:rowOff>
        </xdr:from>
        <xdr:to>
          <xdr:col>3</xdr:col>
          <xdr:colOff>47625</xdr:colOff>
          <xdr:row>75</xdr:row>
          <xdr:rowOff>0</xdr:rowOff>
        </xdr:to>
        <xdr:sp macro="" textlink="">
          <xdr:nvSpPr>
            <xdr:cNvPr id="19470" name="Check Box 14" hidden="1">
              <a:extLst>
                <a:ext uri="{63B3BB69-23CF-44E3-9099-C40C66FF867C}">
                  <a14:compatExt spid="_x0000_s19470"/>
                </a:ext>
                <a:ext uri="{FF2B5EF4-FFF2-40B4-BE49-F238E27FC236}">
                  <a16:creationId xmlns:a16="http://schemas.microsoft.com/office/drawing/2014/main" id="{B7B039E9-0262-4CAC-9A85-F02C3CB13FA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75</xdr:row>
          <xdr:rowOff>9525</xdr:rowOff>
        </xdr:from>
        <xdr:to>
          <xdr:col>3</xdr:col>
          <xdr:colOff>47625</xdr:colOff>
          <xdr:row>76</xdr:row>
          <xdr:rowOff>0</xdr:rowOff>
        </xdr:to>
        <xdr:sp macro="" textlink="">
          <xdr:nvSpPr>
            <xdr:cNvPr id="19471" name="Check Box 15" hidden="1">
              <a:extLst>
                <a:ext uri="{63B3BB69-23CF-44E3-9099-C40C66FF867C}">
                  <a14:compatExt spid="_x0000_s19471"/>
                </a:ext>
                <a:ext uri="{FF2B5EF4-FFF2-40B4-BE49-F238E27FC236}">
                  <a16:creationId xmlns:a16="http://schemas.microsoft.com/office/drawing/2014/main" id="{3D91CA82-CA4C-4D25-A407-32987CA8A55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76</xdr:row>
          <xdr:rowOff>9525</xdr:rowOff>
        </xdr:from>
        <xdr:to>
          <xdr:col>3</xdr:col>
          <xdr:colOff>47625</xdr:colOff>
          <xdr:row>77</xdr:row>
          <xdr:rowOff>0</xdr:rowOff>
        </xdr:to>
        <xdr:sp macro="" textlink="">
          <xdr:nvSpPr>
            <xdr:cNvPr id="19472" name="Check Box 16" hidden="1">
              <a:extLst>
                <a:ext uri="{63B3BB69-23CF-44E3-9099-C40C66FF867C}">
                  <a14:compatExt spid="_x0000_s19472"/>
                </a:ext>
                <a:ext uri="{FF2B5EF4-FFF2-40B4-BE49-F238E27FC236}">
                  <a16:creationId xmlns:a16="http://schemas.microsoft.com/office/drawing/2014/main" id="{D9121623-A182-442C-87AA-D64F1C0F58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78</xdr:row>
          <xdr:rowOff>9525</xdr:rowOff>
        </xdr:from>
        <xdr:to>
          <xdr:col>3</xdr:col>
          <xdr:colOff>47625</xdr:colOff>
          <xdr:row>79</xdr:row>
          <xdr:rowOff>0</xdr:rowOff>
        </xdr:to>
        <xdr:sp macro="" textlink="">
          <xdr:nvSpPr>
            <xdr:cNvPr id="19473" name="Check Box 17" hidden="1">
              <a:extLst>
                <a:ext uri="{63B3BB69-23CF-44E3-9099-C40C66FF867C}">
                  <a14:compatExt spid="_x0000_s19473"/>
                </a:ext>
                <a:ext uri="{FF2B5EF4-FFF2-40B4-BE49-F238E27FC236}">
                  <a16:creationId xmlns:a16="http://schemas.microsoft.com/office/drawing/2014/main" id="{BEA97A06-1ED9-4DA7-B919-87E6E60ED7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80</xdr:row>
          <xdr:rowOff>9525</xdr:rowOff>
        </xdr:from>
        <xdr:to>
          <xdr:col>3</xdr:col>
          <xdr:colOff>47625</xdr:colOff>
          <xdr:row>81</xdr:row>
          <xdr:rowOff>0</xdr:rowOff>
        </xdr:to>
        <xdr:sp macro="" textlink="">
          <xdr:nvSpPr>
            <xdr:cNvPr id="19474" name="Check Box 18" hidden="1">
              <a:extLst>
                <a:ext uri="{63B3BB69-23CF-44E3-9099-C40C66FF867C}">
                  <a14:compatExt spid="_x0000_s19474"/>
                </a:ext>
                <a:ext uri="{FF2B5EF4-FFF2-40B4-BE49-F238E27FC236}">
                  <a16:creationId xmlns:a16="http://schemas.microsoft.com/office/drawing/2014/main" id="{9B70B14D-97C1-4884-AF4E-E802FDD6FAD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81</xdr:row>
          <xdr:rowOff>9525</xdr:rowOff>
        </xdr:from>
        <xdr:to>
          <xdr:col>3</xdr:col>
          <xdr:colOff>47625</xdr:colOff>
          <xdr:row>82</xdr:row>
          <xdr:rowOff>0</xdr:rowOff>
        </xdr:to>
        <xdr:sp macro="" textlink="">
          <xdr:nvSpPr>
            <xdr:cNvPr id="19475" name="Check Box 19" hidden="1">
              <a:extLst>
                <a:ext uri="{63B3BB69-23CF-44E3-9099-C40C66FF867C}">
                  <a14:compatExt spid="_x0000_s19475"/>
                </a:ext>
                <a:ext uri="{FF2B5EF4-FFF2-40B4-BE49-F238E27FC236}">
                  <a16:creationId xmlns:a16="http://schemas.microsoft.com/office/drawing/2014/main" id="{352DA190-6673-4D51-84C6-AFC2FFA197D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1043</a:t>
              </a:r>
            </a:p>
          </xdr:txBody>
        </xdr:sp>
        <xdr:clientData/>
      </xdr:twoCellAnchor>
    </mc:Choice>
    <mc:Fallback/>
  </mc:AlternateContent>
  <xdr:twoCellAnchor>
    <xdr:from>
      <xdr:col>12</xdr:col>
      <xdr:colOff>787507</xdr:colOff>
      <xdr:row>39</xdr:row>
      <xdr:rowOff>163984</xdr:rowOff>
    </xdr:from>
    <xdr:to>
      <xdr:col>13</xdr:col>
      <xdr:colOff>850640</xdr:colOff>
      <xdr:row>40</xdr:row>
      <xdr:rowOff>933296</xdr:rowOff>
    </xdr:to>
    <xdr:grpSp>
      <xdr:nvGrpSpPr>
        <xdr:cNvPr id="37" name="グループ化 36">
          <a:extLst>
            <a:ext uri="{FF2B5EF4-FFF2-40B4-BE49-F238E27FC236}">
              <a16:creationId xmlns:a16="http://schemas.microsoft.com/office/drawing/2014/main" id="{8A26A431-D2C3-4CE0-9454-9BFA64601E3B}"/>
            </a:ext>
          </a:extLst>
        </xdr:cNvPr>
        <xdr:cNvGrpSpPr/>
      </xdr:nvGrpSpPr>
      <xdr:grpSpPr>
        <a:xfrm>
          <a:off x="12693757" y="20991984"/>
          <a:ext cx="1047383" cy="928062"/>
          <a:chOff x="9763125" y="9251158"/>
          <a:chExt cx="1012031" cy="936000"/>
        </a:xfrm>
      </xdr:grpSpPr>
      <xdr:sp macro="[0]!Sheet4.地域567全クリア_Click" textlink="">
        <xdr:nvSpPr>
          <xdr:cNvPr id="38" name="四角形: 角を丸くする 37">
            <a:extLst>
              <a:ext uri="{FF2B5EF4-FFF2-40B4-BE49-F238E27FC236}">
                <a16:creationId xmlns:a16="http://schemas.microsoft.com/office/drawing/2014/main" id="{3604165E-7545-BFBB-97C4-B5A33E4D944C}"/>
              </a:ext>
            </a:extLst>
          </xdr:cNvPr>
          <xdr:cNvSpPr/>
        </xdr:nvSpPr>
        <xdr:spPr>
          <a:xfrm>
            <a:off x="9810750" y="9251158"/>
            <a:ext cx="936000" cy="936000"/>
          </a:xfrm>
          <a:prstGeom prst="roundRect">
            <a:avLst/>
          </a:prstGeom>
          <a:solidFill>
            <a:schemeClr val="accent6"/>
          </a:solidFill>
          <a:ln>
            <a:solidFill>
              <a:schemeClr val="bg2">
                <a:lumMod val="9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100" b="1">
              <a:latin typeface="Meiryo UI" panose="020B0604030504040204" pitchFamily="50" charset="-128"/>
              <a:ea typeface="Meiryo UI" panose="020B0604030504040204" pitchFamily="50" charset="-128"/>
            </a:endParaRPr>
          </a:p>
        </xdr:txBody>
      </xdr:sp>
      <xdr:sp macro="[0]!Sheet4.地域567全クリア_Click" textlink="">
        <xdr:nvSpPr>
          <xdr:cNvPr id="39" name="四角形: 角を丸くする 38">
            <a:extLst>
              <a:ext uri="{FF2B5EF4-FFF2-40B4-BE49-F238E27FC236}">
                <a16:creationId xmlns:a16="http://schemas.microsoft.com/office/drawing/2014/main" id="{68A8AE3F-44B3-8DB9-309C-7DCA5E7C425F}"/>
              </a:ext>
            </a:extLst>
          </xdr:cNvPr>
          <xdr:cNvSpPr/>
        </xdr:nvSpPr>
        <xdr:spPr>
          <a:xfrm>
            <a:off x="9763125" y="9274969"/>
            <a:ext cx="1012031" cy="892967"/>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bg1"/>
                </a:solidFill>
                <a:latin typeface="Meiryo UI" panose="020B0604030504040204" pitchFamily="50" charset="-128"/>
                <a:ea typeface="Meiryo UI" panose="020B0604030504040204" pitchFamily="50" charset="-128"/>
              </a:rPr>
              <a:t>すべての</a:t>
            </a:r>
            <a:endParaRPr kumimoji="1" lang="en-US" altLang="ja-JP" sz="1100" b="1">
              <a:solidFill>
                <a:schemeClr val="bg1"/>
              </a:solidFill>
              <a:latin typeface="Meiryo UI" panose="020B0604030504040204" pitchFamily="50" charset="-128"/>
              <a:ea typeface="Meiryo UI" panose="020B0604030504040204" pitchFamily="50" charset="-128"/>
            </a:endParaRPr>
          </a:p>
          <a:p>
            <a:pPr algn="ctr"/>
            <a:r>
              <a:rPr kumimoji="1" lang="ja-JP" altLang="en-US" sz="1100" b="1">
                <a:solidFill>
                  <a:schemeClr val="bg1"/>
                </a:solidFill>
                <a:latin typeface="Meiryo UI" panose="020B0604030504040204" pitchFamily="50" charset="-128"/>
                <a:ea typeface="Meiryo UI" panose="020B0604030504040204" pitchFamily="50" charset="-128"/>
              </a:rPr>
              <a:t>チェック✓を</a:t>
            </a:r>
            <a:endParaRPr kumimoji="1" lang="en-US" altLang="ja-JP" sz="1100" b="1">
              <a:solidFill>
                <a:schemeClr val="bg1"/>
              </a:solidFill>
              <a:latin typeface="Meiryo UI" panose="020B0604030504040204" pitchFamily="50" charset="-128"/>
              <a:ea typeface="Meiryo UI" panose="020B0604030504040204" pitchFamily="50" charset="-128"/>
            </a:endParaRPr>
          </a:p>
          <a:p>
            <a:pPr algn="ctr"/>
            <a:r>
              <a:rPr kumimoji="1" lang="ja-JP" altLang="en-US" sz="1100" b="1">
                <a:solidFill>
                  <a:schemeClr val="bg1"/>
                </a:solidFill>
                <a:latin typeface="Meiryo UI" panose="020B0604030504040204" pitchFamily="50" charset="-128"/>
                <a:ea typeface="Meiryo UI" panose="020B0604030504040204" pitchFamily="50" charset="-128"/>
              </a:rPr>
              <a:t>クリア</a:t>
            </a:r>
          </a:p>
        </xdr:txBody>
      </xdr:sp>
    </xdr:grpSp>
    <xdr:clientData/>
  </xdr:twoCellAnchor>
  <mc:AlternateContent xmlns:mc="http://schemas.openxmlformats.org/markup-compatibility/2006">
    <mc:Choice xmlns:a14="http://schemas.microsoft.com/office/drawing/2010/main" Requires="a14">
      <xdr:twoCellAnchor editAs="oneCell">
        <xdr:from>
          <xdr:col>2</xdr:col>
          <xdr:colOff>647700</xdr:colOff>
          <xdr:row>61</xdr:row>
          <xdr:rowOff>19050</xdr:rowOff>
        </xdr:from>
        <xdr:to>
          <xdr:col>3</xdr:col>
          <xdr:colOff>76200</xdr:colOff>
          <xdr:row>61</xdr:row>
          <xdr:rowOff>371475</xdr:rowOff>
        </xdr:to>
        <xdr:sp macro="" textlink="">
          <xdr:nvSpPr>
            <xdr:cNvPr id="19476" name="Check Box 20" hidden="1">
              <a:extLst>
                <a:ext uri="{63B3BB69-23CF-44E3-9099-C40C66FF867C}">
                  <a14:compatExt spid="_x0000_s19476"/>
                </a:ext>
                <a:ext uri="{FF2B5EF4-FFF2-40B4-BE49-F238E27FC236}">
                  <a16:creationId xmlns:a16="http://schemas.microsoft.com/office/drawing/2014/main" id="{D0D52722-03DE-4682-88C8-400848935AC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61</xdr:row>
          <xdr:rowOff>371475</xdr:rowOff>
        </xdr:from>
        <xdr:to>
          <xdr:col>3</xdr:col>
          <xdr:colOff>76200</xdr:colOff>
          <xdr:row>62</xdr:row>
          <xdr:rowOff>361950</xdr:rowOff>
        </xdr:to>
        <xdr:sp macro="" textlink="">
          <xdr:nvSpPr>
            <xdr:cNvPr id="19477" name="Check Box 21" hidden="1">
              <a:extLst>
                <a:ext uri="{63B3BB69-23CF-44E3-9099-C40C66FF867C}">
                  <a14:compatExt spid="_x0000_s19477"/>
                </a:ext>
                <a:ext uri="{FF2B5EF4-FFF2-40B4-BE49-F238E27FC236}">
                  <a16:creationId xmlns:a16="http://schemas.microsoft.com/office/drawing/2014/main" id="{4BCC3D57-59A1-4598-BFC9-DA0871EC8C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67</xdr:row>
          <xdr:rowOff>0</xdr:rowOff>
        </xdr:from>
        <xdr:to>
          <xdr:col>3</xdr:col>
          <xdr:colOff>76200</xdr:colOff>
          <xdr:row>67</xdr:row>
          <xdr:rowOff>371475</xdr:rowOff>
        </xdr:to>
        <xdr:sp macro="" textlink="">
          <xdr:nvSpPr>
            <xdr:cNvPr id="19478" name="Check Box 22" hidden="1">
              <a:extLst>
                <a:ext uri="{63B3BB69-23CF-44E3-9099-C40C66FF867C}">
                  <a14:compatExt spid="_x0000_s19478"/>
                </a:ext>
                <a:ext uri="{FF2B5EF4-FFF2-40B4-BE49-F238E27FC236}">
                  <a16:creationId xmlns:a16="http://schemas.microsoft.com/office/drawing/2014/main" id="{B7B86066-742F-4C9C-AC64-CE883EE37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676275</xdr:colOff>
          <xdr:row>49</xdr:row>
          <xdr:rowOff>9525</xdr:rowOff>
        </xdr:from>
        <xdr:to>
          <xdr:col>6</xdr:col>
          <xdr:colOff>66675</xdr:colOff>
          <xdr:row>50</xdr:row>
          <xdr:rowOff>0</xdr:rowOff>
        </xdr:to>
        <xdr:sp macro="" textlink="">
          <xdr:nvSpPr>
            <xdr:cNvPr id="19480" name="Check Box 24" hidden="1">
              <a:extLst>
                <a:ext uri="{63B3BB69-23CF-44E3-9099-C40C66FF867C}">
                  <a14:compatExt spid="_x0000_s19480"/>
                </a:ext>
                <a:ext uri="{FF2B5EF4-FFF2-40B4-BE49-F238E27FC236}">
                  <a16:creationId xmlns:a16="http://schemas.microsoft.com/office/drawing/2014/main" id="{9D1606C3-9938-4B59-8DF7-CB60F6E9DCA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628650</xdr:colOff>
          <xdr:row>77</xdr:row>
          <xdr:rowOff>9525</xdr:rowOff>
        </xdr:from>
        <xdr:to>
          <xdr:col>5</xdr:col>
          <xdr:colOff>38100</xdr:colOff>
          <xdr:row>78</xdr:row>
          <xdr:rowOff>0</xdr:rowOff>
        </xdr:to>
        <xdr:sp macro="" textlink="">
          <xdr:nvSpPr>
            <xdr:cNvPr id="19483" name="Check Box 27" hidden="1">
              <a:extLst>
                <a:ext uri="{63B3BB69-23CF-44E3-9099-C40C66FF867C}">
                  <a14:compatExt spid="_x0000_s19483"/>
                </a:ext>
                <a:ext uri="{FF2B5EF4-FFF2-40B4-BE49-F238E27FC236}">
                  <a16:creationId xmlns:a16="http://schemas.microsoft.com/office/drawing/2014/main" id="{31C02E09-2E59-4C5C-AEB5-C9228CA0DFD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1051</a:t>
              </a:r>
            </a:p>
          </xdr:txBody>
        </xdr:sp>
        <xdr:clientData/>
      </xdr:twoCellAnchor>
    </mc:Choice>
    <mc:Fallback/>
  </mc:AlternateContent>
  <xdr:twoCellAnchor>
    <xdr:from>
      <xdr:col>16</xdr:col>
      <xdr:colOff>427146</xdr:colOff>
      <xdr:row>0</xdr:row>
      <xdr:rowOff>54430</xdr:rowOff>
    </xdr:from>
    <xdr:to>
      <xdr:col>18</xdr:col>
      <xdr:colOff>767326</xdr:colOff>
      <xdr:row>2</xdr:row>
      <xdr:rowOff>163286</xdr:rowOff>
    </xdr:to>
    <xdr:sp macro="[0]!印刷プレビュー表示" textlink="">
      <xdr:nvSpPr>
        <xdr:cNvPr id="40" name="正方形/長方形 39">
          <a:extLst>
            <a:ext uri="{FF2B5EF4-FFF2-40B4-BE49-F238E27FC236}">
              <a16:creationId xmlns:a16="http://schemas.microsoft.com/office/drawing/2014/main" id="{F7E0EECA-2C95-620F-8450-A0CCD0C8B3AB}"/>
            </a:ext>
          </a:extLst>
        </xdr:cNvPr>
        <xdr:cNvSpPr/>
      </xdr:nvSpPr>
      <xdr:spPr>
        <a:xfrm>
          <a:off x="16139255" y="54430"/>
          <a:ext cx="2336288" cy="6472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mc:AlternateContent xmlns:mc="http://schemas.openxmlformats.org/markup-compatibility/2006">
    <mc:Choice xmlns:a14="http://schemas.microsoft.com/office/drawing/2010/main" Requires="a14">
      <xdr:twoCellAnchor editAs="oneCell">
        <xdr:from>
          <xdr:col>5</xdr:col>
          <xdr:colOff>676275</xdr:colOff>
          <xdr:row>50</xdr:row>
          <xdr:rowOff>9525</xdr:rowOff>
        </xdr:from>
        <xdr:to>
          <xdr:col>6</xdr:col>
          <xdr:colOff>66675</xdr:colOff>
          <xdr:row>51</xdr:row>
          <xdr:rowOff>0</xdr:rowOff>
        </xdr:to>
        <xdr:sp macro="" textlink="">
          <xdr:nvSpPr>
            <xdr:cNvPr id="19484" name="Check Box 28" hidden="1">
              <a:extLst>
                <a:ext uri="{63B3BB69-23CF-44E3-9099-C40C66FF867C}">
                  <a14:compatExt spid="_x0000_s19484"/>
                </a:ext>
                <a:ext uri="{FF2B5EF4-FFF2-40B4-BE49-F238E27FC236}">
                  <a16:creationId xmlns:a16="http://schemas.microsoft.com/office/drawing/2014/main" id="{9AAC4FCA-EDBF-40F5-8386-F493E07FE3C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676275</xdr:colOff>
          <xdr:row>51</xdr:row>
          <xdr:rowOff>9525</xdr:rowOff>
        </xdr:from>
        <xdr:to>
          <xdr:col>6</xdr:col>
          <xdr:colOff>66675</xdr:colOff>
          <xdr:row>52</xdr:row>
          <xdr:rowOff>0</xdr:rowOff>
        </xdr:to>
        <xdr:sp macro="" textlink="">
          <xdr:nvSpPr>
            <xdr:cNvPr id="19485" name="Check Box 29" hidden="1">
              <a:extLst>
                <a:ext uri="{63B3BB69-23CF-44E3-9099-C40C66FF867C}">
                  <a14:compatExt spid="_x0000_s19485"/>
                </a:ext>
                <a:ext uri="{FF2B5EF4-FFF2-40B4-BE49-F238E27FC236}">
                  <a16:creationId xmlns:a16="http://schemas.microsoft.com/office/drawing/2014/main" id="{96B44A81-18CB-468A-B4A7-43ED29FF90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676275</xdr:colOff>
          <xdr:row>56</xdr:row>
          <xdr:rowOff>9525</xdr:rowOff>
        </xdr:from>
        <xdr:to>
          <xdr:col>6</xdr:col>
          <xdr:colOff>66675</xdr:colOff>
          <xdr:row>57</xdr:row>
          <xdr:rowOff>0</xdr:rowOff>
        </xdr:to>
        <xdr:sp macro="" textlink="">
          <xdr:nvSpPr>
            <xdr:cNvPr id="19486" name="Check Box 30" hidden="1">
              <a:extLst>
                <a:ext uri="{63B3BB69-23CF-44E3-9099-C40C66FF867C}">
                  <a14:compatExt spid="_x0000_s19486"/>
                </a:ext>
                <a:ext uri="{FF2B5EF4-FFF2-40B4-BE49-F238E27FC236}">
                  <a16:creationId xmlns:a16="http://schemas.microsoft.com/office/drawing/2014/main" id="{39750BF9-8152-461D-91DA-2223A6CD21B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714375</xdr:colOff>
          <xdr:row>53</xdr:row>
          <xdr:rowOff>9525</xdr:rowOff>
        </xdr:from>
        <xdr:to>
          <xdr:col>7</xdr:col>
          <xdr:colOff>123825</xdr:colOff>
          <xdr:row>54</xdr:row>
          <xdr:rowOff>0</xdr:rowOff>
        </xdr:to>
        <xdr:sp macro="" textlink="">
          <xdr:nvSpPr>
            <xdr:cNvPr id="19487" name="Check Box 31" hidden="1">
              <a:extLst>
                <a:ext uri="{63B3BB69-23CF-44E3-9099-C40C66FF867C}">
                  <a14:compatExt spid="_x0000_s19487"/>
                </a:ext>
                <a:ext uri="{FF2B5EF4-FFF2-40B4-BE49-F238E27FC236}">
                  <a16:creationId xmlns:a16="http://schemas.microsoft.com/office/drawing/2014/main" id="{E955DBAA-78E9-4F26-B388-0E45449917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723900</xdr:colOff>
          <xdr:row>54</xdr:row>
          <xdr:rowOff>9525</xdr:rowOff>
        </xdr:from>
        <xdr:to>
          <xdr:col>7</xdr:col>
          <xdr:colOff>104775</xdr:colOff>
          <xdr:row>55</xdr:row>
          <xdr:rowOff>0</xdr:rowOff>
        </xdr:to>
        <xdr:sp macro="" textlink="">
          <xdr:nvSpPr>
            <xdr:cNvPr id="19488" name="Check Box 32" hidden="1">
              <a:extLst>
                <a:ext uri="{63B3BB69-23CF-44E3-9099-C40C66FF867C}">
                  <a14:compatExt spid="_x0000_s19488"/>
                </a:ext>
                <a:ext uri="{FF2B5EF4-FFF2-40B4-BE49-F238E27FC236}">
                  <a16:creationId xmlns:a16="http://schemas.microsoft.com/office/drawing/2014/main" id="{55472EFB-B753-4A80-A824-7E36C922A30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723900</xdr:colOff>
          <xdr:row>55</xdr:row>
          <xdr:rowOff>9525</xdr:rowOff>
        </xdr:from>
        <xdr:to>
          <xdr:col>7</xdr:col>
          <xdr:colOff>104775</xdr:colOff>
          <xdr:row>56</xdr:row>
          <xdr:rowOff>0</xdr:rowOff>
        </xdr:to>
        <xdr:sp macro="" textlink="">
          <xdr:nvSpPr>
            <xdr:cNvPr id="19489" name="Check Box 33" hidden="1">
              <a:extLst>
                <a:ext uri="{63B3BB69-23CF-44E3-9099-C40C66FF867C}">
                  <a14:compatExt spid="_x0000_s19489"/>
                </a:ext>
                <a:ext uri="{FF2B5EF4-FFF2-40B4-BE49-F238E27FC236}">
                  <a16:creationId xmlns:a16="http://schemas.microsoft.com/office/drawing/2014/main" id="{5B454C6B-E981-4BF7-9264-3E3EEE22E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676275</xdr:colOff>
          <xdr:row>57</xdr:row>
          <xdr:rowOff>9525</xdr:rowOff>
        </xdr:from>
        <xdr:to>
          <xdr:col>6</xdr:col>
          <xdr:colOff>66675</xdr:colOff>
          <xdr:row>58</xdr:row>
          <xdr:rowOff>0</xdr:rowOff>
        </xdr:to>
        <xdr:sp macro="" textlink="">
          <xdr:nvSpPr>
            <xdr:cNvPr id="19490" name="Check Box 34" hidden="1">
              <a:extLst>
                <a:ext uri="{63B3BB69-23CF-44E3-9099-C40C66FF867C}">
                  <a14:compatExt spid="_x0000_s19490"/>
                </a:ext>
                <a:ext uri="{FF2B5EF4-FFF2-40B4-BE49-F238E27FC236}">
                  <a16:creationId xmlns:a16="http://schemas.microsoft.com/office/drawing/2014/main" id="{4702E728-3052-42FE-BF41-FAF404F5408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676275</xdr:colOff>
          <xdr:row>58</xdr:row>
          <xdr:rowOff>9525</xdr:rowOff>
        </xdr:from>
        <xdr:to>
          <xdr:col>6</xdr:col>
          <xdr:colOff>66675</xdr:colOff>
          <xdr:row>59</xdr:row>
          <xdr:rowOff>0</xdr:rowOff>
        </xdr:to>
        <xdr:sp macro="" textlink="">
          <xdr:nvSpPr>
            <xdr:cNvPr id="19491" name="Check Box 35" hidden="1">
              <a:extLst>
                <a:ext uri="{63B3BB69-23CF-44E3-9099-C40C66FF867C}">
                  <a14:compatExt spid="_x0000_s19491"/>
                </a:ext>
                <a:ext uri="{FF2B5EF4-FFF2-40B4-BE49-F238E27FC236}">
                  <a16:creationId xmlns:a16="http://schemas.microsoft.com/office/drawing/2014/main" id="{F50BBC8C-93A6-4BF8-A434-ACD478760C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676275</xdr:colOff>
          <xdr:row>63</xdr:row>
          <xdr:rowOff>9525</xdr:rowOff>
        </xdr:from>
        <xdr:to>
          <xdr:col>6</xdr:col>
          <xdr:colOff>66675</xdr:colOff>
          <xdr:row>64</xdr:row>
          <xdr:rowOff>0</xdr:rowOff>
        </xdr:to>
        <xdr:sp macro="" textlink="">
          <xdr:nvSpPr>
            <xdr:cNvPr id="19496" name="Check Box 40" hidden="1">
              <a:extLst>
                <a:ext uri="{63B3BB69-23CF-44E3-9099-C40C66FF867C}">
                  <a14:compatExt spid="_x0000_s19496"/>
                </a:ext>
                <a:ext uri="{FF2B5EF4-FFF2-40B4-BE49-F238E27FC236}">
                  <a16:creationId xmlns:a16="http://schemas.microsoft.com/office/drawing/2014/main" id="{EFF29A74-311A-4D69-83A8-4C51DE3124A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676275</xdr:colOff>
          <xdr:row>64</xdr:row>
          <xdr:rowOff>9525</xdr:rowOff>
        </xdr:from>
        <xdr:to>
          <xdr:col>6</xdr:col>
          <xdr:colOff>66675</xdr:colOff>
          <xdr:row>65</xdr:row>
          <xdr:rowOff>0</xdr:rowOff>
        </xdr:to>
        <xdr:sp macro="" textlink="">
          <xdr:nvSpPr>
            <xdr:cNvPr id="19497" name="Check Box 41" hidden="1">
              <a:extLst>
                <a:ext uri="{63B3BB69-23CF-44E3-9099-C40C66FF867C}">
                  <a14:compatExt spid="_x0000_s19497"/>
                </a:ext>
                <a:ext uri="{FF2B5EF4-FFF2-40B4-BE49-F238E27FC236}">
                  <a16:creationId xmlns:a16="http://schemas.microsoft.com/office/drawing/2014/main" id="{563A042A-C740-4EFF-A64F-5FADC67E27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676275</xdr:colOff>
          <xdr:row>65</xdr:row>
          <xdr:rowOff>9525</xdr:rowOff>
        </xdr:from>
        <xdr:to>
          <xdr:col>6</xdr:col>
          <xdr:colOff>66675</xdr:colOff>
          <xdr:row>66</xdr:row>
          <xdr:rowOff>0</xdr:rowOff>
        </xdr:to>
        <xdr:sp macro="" textlink="">
          <xdr:nvSpPr>
            <xdr:cNvPr id="19498" name="Check Box 42" hidden="1">
              <a:extLst>
                <a:ext uri="{63B3BB69-23CF-44E3-9099-C40C66FF867C}">
                  <a14:compatExt spid="_x0000_s19498"/>
                </a:ext>
                <a:ext uri="{FF2B5EF4-FFF2-40B4-BE49-F238E27FC236}">
                  <a16:creationId xmlns:a16="http://schemas.microsoft.com/office/drawing/2014/main" id="{E7E4EFA0-3841-4C2D-88A8-C918FF01D0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676275</xdr:colOff>
          <xdr:row>66</xdr:row>
          <xdr:rowOff>9525</xdr:rowOff>
        </xdr:from>
        <xdr:to>
          <xdr:col>6</xdr:col>
          <xdr:colOff>66675</xdr:colOff>
          <xdr:row>67</xdr:row>
          <xdr:rowOff>0</xdr:rowOff>
        </xdr:to>
        <xdr:sp macro="" textlink="">
          <xdr:nvSpPr>
            <xdr:cNvPr id="19499" name="Check Box 43" hidden="1">
              <a:extLst>
                <a:ext uri="{63B3BB69-23CF-44E3-9099-C40C66FF867C}">
                  <a14:compatExt spid="_x0000_s19499"/>
                </a:ext>
                <a:ext uri="{FF2B5EF4-FFF2-40B4-BE49-F238E27FC236}">
                  <a16:creationId xmlns:a16="http://schemas.microsoft.com/office/drawing/2014/main" id="{E0CF1F80-CA9B-4EAE-BB29-04F83D3405B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1067</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871863</xdr:colOff>
      <xdr:row>45</xdr:row>
      <xdr:rowOff>11908</xdr:rowOff>
    </xdr:from>
    <xdr:to>
      <xdr:col>4</xdr:col>
      <xdr:colOff>146446</xdr:colOff>
      <xdr:row>45</xdr:row>
      <xdr:rowOff>827360</xdr:rowOff>
    </xdr:to>
    <xdr:grpSp>
      <xdr:nvGrpSpPr>
        <xdr:cNvPr id="38" name="グループ化 37">
          <a:extLst>
            <a:ext uri="{FF2B5EF4-FFF2-40B4-BE49-F238E27FC236}">
              <a16:creationId xmlns:a16="http://schemas.microsoft.com/office/drawing/2014/main" id="{155E1003-6F8C-968D-4EBE-D7C62FCE1040}"/>
            </a:ext>
          </a:extLst>
        </xdr:cNvPr>
        <xdr:cNvGrpSpPr/>
      </xdr:nvGrpSpPr>
      <xdr:grpSpPr>
        <a:xfrm>
          <a:off x="1125863" y="24046658"/>
          <a:ext cx="2989333" cy="815452"/>
          <a:chOff x="4914035" y="21705095"/>
          <a:chExt cx="2973855" cy="815452"/>
        </a:xfrm>
      </xdr:grpSpPr>
      <xdr:grpSp>
        <xdr:nvGrpSpPr>
          <xdr:cNvPr id="34" name="グループ化 33">
            <a:extLst>
              <a:ext uri="{FF2B5EF4-FFF2-40B4-BE49-F238E27FC236}">
                <a16:creationId xmlns:a16="http://schemas.microsoft.com/office/drawing/2014/main" id="{45684A47-C717-4362-84B0-2EDC06425E7C}"/>
              </a:ext>
            </a:extLst>
          </xdr:cNvPr>
          <xdr:cNvGrpSpPr/>
        </xdr:nvGrpSpPr>
        <xdr:grpSpPr>
          <a:xfrm>
            <a:off x="4914035" y="21727030"/>
            <a:ext cx="2924350" cy="793517"/>
            <a:chOff x="1202532" y="10404067"/>
            <a:chExt cx="2928109" cy="775427"/>
          </a:xfrm>
        </xdr:grpSpPr>
        <xdr:pic>
          <xdr:nvPicPr>
            <xdr:cNvPr id="35" name="図 34">
              <a:extLst>
                <a:ext uri="{FF2B5EF4-FFF2-40B4-BE49-F238E27FC236}">
                  <a16:creationId xmlns:a16="http://schemas.microsoft.com/office/drawing/2014/main" id="{69584650-708D-F97D-6147-86FEBFF3BE0A}"/>
                </a:ext>
              </a:extLst>
            </xdr:cNvPr>
            <xdr:cNvPicPr>
              <a:picLocks noChangeAspect="1"/>
            </xdr:cNvPicPr>
          </xdr:nvPicPr>
          <xdr:blipFill rotWithShape="1">
            <a:blip xmlns:r="http://schemas.openxmlformats.org/officeDocument/2006/relationships" r:embed="rId1"/>
            <a:srcRect l="31628" t="1260" r="66108" b="71030"/>
            <a:stretch/>
          </xdr:blipFill>
          <xdr:spPr>
            <a:xfrm>
              <a:off x="3869677" y="10404067"/>
              <a:ext cx="260964" cy="217960"/>
            </a:xfrm>
            <a:prstGeom prst="rect">
              <a:avLst/>
            </a:prstGeom>
          </xdr:spPr>
        </xdr:pic>
        <xdr:sp macro="" textlink="">
          <xdr:nvSpPr>
            <xdr:cNvPr id="36" name="正方形/長方形 35">
              <a:extLst>
                <a:ext uri="{FF2B5EF4-FFF2-40B4-BE49-F238E27FC236}">
                  <a16:creationId xmlns:a16="http://schemas.microsoft.com/office/drawing/2014/main" id="{D62E73E9-4532-2482-C3CB-6608ECE8E94C}"/>
                </a:ext>
              </a:extLst>
            </xdr:cNvPr>
            <xdr:cNvSpPr/>
          </xdr:nvSpPr>
          <xdr:spPr>
            <a:xfrm>
              <a:off x="1202532" y="10953751"/>
              <a:ext cx="1052033" cy="225743"/>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37" name="正方形/長方形 36">
            <a:extLst>
              <a:ext uri="{FF2B5EF4-FFF2-40B4-BE49-F238E27FC236}">
                <a16:creationId xmlns:a16="http://schemas.microsoft.com/office/drawing/2014/main" id="{5032A496-2DAB-332E-CF2E-98BAC6D4F497}"/>
              </a:ext>
            </a:extLst>
          </xdr:cNvPr>
          <xdr:cNvSpPr/>
        </xdr:nvSpPr>
        <xdr:spPr>
          <a:xfrm>
            <a:off x="7786687" y="21705095"/>
            <a:ext cx="101203" cy="65484"/>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3</xdr:col>
      <xdr:colOff>765641</xdr:colOff>
      <xdr:row>44</xdr:row>
      <xdr:rowOff>143437</xdr:rowOff>
    </xdr:from>
    <xdr:to>
      <xdr:col>15</xdr:col>
      <xdr:colOff>476249</xdr:colOff>
      <xdr:row>45</xdr:row>
      <xdr:rowOff>1546412</xdr:rowOff>
    </xdr:to>
    <xdr:sp macro="" textlink="">
      <xdr:nvSpPr>
        <xdr:cNvPr id="33" name="テキスト ボックス 32">
          <a:extLst>
            <a:ext uri="{FF2B5EF4-FFF2-40B4-BE49-F238E27FC236}">
              <a16:creationId xmlns:a16="http://schemas.microsoft.com/office/drawing/2014/main" id="{A3B4248D-387B-433A-8A6B-A42EE6ABD903}"/>
            </a:ext>
          </a:extLst>
        </xdr:cNvPr>
        <xdr:cNvSpPr txBox="1"/>
      </xdr:nvSpPr>
      <xdr:spPr>
        <a:xfrm>
          <a:off x="3742204" y="24372656"/>
          <a:ext cx="11521608" cy="15696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nSpc>
              <a:spcPts val="2000"/>
            </a:lnSpc>
          </a:pPr>
          <a:r>
            <a:rPr kumimoji="1" lang="ja-JP" altLang="en-US" sz="1600" b="0">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400" b="0">
              <a:solidFill>
                <a:sysClr val="windowText" lastClr="000000"/>
              </a:solidFill>
              <a:latin typeface="BIZ UDPゴシック" panose="020B0400000000000000" pitchFamily="50" charset="-128"/>
              <a:ea typeface="BIZ UDPゴシック" panose="020B0400000000000000" pitchFamily="50" charset="-128"/>
            </a:rPr>
            <a:t>下記に記載のない設備機器（床暖房など）を設置する場合、このツールは使用できません。</a:t>
          </a:r>
          <a:endParaRPr kumimoji="1" lang="en-US" altLang="ja-JP" sz="1600" b="0">
            <a:solidFill>
              <a:sysClr val="windowText" lastClr="000000"/>
            </a:solidFill>
            <a:latin typeface="BIZ UDPゴシック" panose="020B0400000000000000" pitchFamily="50" charset="-128"/>
            <a:ea typeface="BIZ UDPゴシック" panose="020B0400000000000000" pitchFamily="50" charset="-128"/>
          </a:endParaRPr>
        </a:p>
        <a:p>
          <a:pPr>
            <a:lnSpc>
              <a:spcPts val="20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□を選択してチェック✓を入れてください。</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20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備考には、設置した機器名や設置場所（照明のみ）を記載してください。</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暖冷房設備は、暖冷房する範囲を選択したのち、各々についていずれかを選択✓してください。</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暖冷房設備、給湯設備、照明設備を設置しない場合は、「設置しない（入居者設置など完了検査時点で設置が行われない）」にチェックしてください。</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□に当てはまる項目がない場合、備考に記載してください。</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xdr:col>
      <xdr:colOff>709612</xdr:colOff>
      <xdr:row>45</xdr:row>
      <xdr:rowOff>19050</xdr:rowOff>
    </xdr:from>
    <xdr:to>
      <xdr:col>3</xdr:col>
      <xdr:colOff>709612</xdr:colOff>
      <xdr:row>45</xdr:row>
      <xdr:rowOff>1423050</xdr:rowOff>
    </xdr:to>
    <xdr:cxnSp macro="">
      <xdr:nvCxnSpPr>
        <xdr:cNvPr id="52" name="直線コネクタ 51">
          <a:extLst>
            <a:ext uri="{FF2B5EF4-FFF2-40B4-BE49-F238E27FC236}">
              <a16:creationId xmlns:a16="http://schemas.microsoft.com/office/drawing/2014/main" id="{467F5BA0-EFD5-4C0B-9504-D42D0DFF242C}"/>
            </a:ext>
          </a:extLst>
        </xdr:cNvPr>
        <xdr:cNvCxnSpPr/>
      </xdr:nvCxnSpPr>
      <xdr:spPr>
        <a:xfrm flipH="1">
          <a:off x="3679171" y="22800609"/>
          <a:ext cx="0" cy="1404000"/>
        </a:xfrm>
        <a:prstGeom prst="line">
          <a:avLst/>
        </a:prstGeom>
        <a:ln w="15875">
          <a:solidFill>
            <a:schemeClr val="tx1">
              <a:lumMod val="50000"/>
              <a:lumOff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943164</xdr:colOff>
      <xdr:row>6</xdr:row>
      <xdr:rowOff>1520447</xdr:rowOff>
    </xdr:from>
    <xdr:to>
      <xdr:col>3</xdr:col>
      <xdr:colOff>943164</xdr:colOff>
      <xdr:row>6</xdr:row>
      <xdr:rowOff>1520447</xdr:rowOff>
    </xdr:to>
    <xdr:pic>
      <xdr:nvPicPr>
        <xdr:cNvPr id="46" name="図 45">
          <a:extLst>
            <a:ext uri="{FF2B5EF4-FFF2-40B4-BE49-F238E27FC236}">
              <a16:creationId xmlns:a16="http://schemas.microsoft.com/office/drawing/2014/main" id="{421105DA-0814-FC7D-6749-602C75F6CAC7}"/>
            </a:ext>
          </a:extLst>
        </xdr:cNvPr>
        <xdr:cNvPicPr>
          <a:picLocks noChangeAspect="1"/>
        </xdr:cNvPicPr>
      </xdr:nvPicPr>
      <xdr:blipFill>
        <a:blip xmlns:r="http://schemas.openxmlformats.org/officeDocument/2006/relationships" r:embed="rId2"/>
        <a:stretch>
          <a:fillRect/>
        </a:stretch>
      </xdr:blipFill>
      <xdr:spPr>
        <a:xfrm>
          <a:off x="3919727" y="2949197"/>
          <a:ext cx="0" cy="0"/>
        </a:xfrm>
        <a:prstGeom prst="rect">
          <a:avLst/>
        </a:prstGeom>
      </xdr:spPr>
    </xdr:pic>
    <xdr:clientData/>
  </xdr:twoCellAnchor>
  <xdr:twoCellAnchor>
    <xdr:from>
      <xdr:col>3</xdr:col>
      <xdr:colOff>943164</xdr:colOff>
      <xdr:row>6</xdr:row>
      <xdr:rowOff>1520447</xdr:rowOff>
    </xdr:from>
    <xdr:to>
      <xdr:col>3</xdr:col>
      <xdr:colOff>943164</xdr:colOff>
      <xdr:row>7</xdr:row>
      <xdr:rowOff>216694</xdr:rowOff>
    </xdr:to>
    <xdr:pic>
      <xdr:nvPicPr>
        <xdr:cNvPr id="21" name="図 20">
          <a:extLst>
            <a:ext uri="{FF2B5EF4-FFF2-40B4-BE49-F238E27FC236}">
              <a16:creationId xmlns:a16="http://schemas.microsoft.com/office/drawing/2014/main" id="{51F453B0-70DB-4009-9469-3E4487D9AF1B}"/>
            </a:ext>
          </a:extLst>
        </xdr:cNvPr>
        <xdr:cNvPicPr>
          <a:picLocks noChangeAspect="1"/>
        </xdr:cNvPicPr>
      </xdr:nvPicPr>
      <xdr:blipFill>
        <a:blip xmlns:r="http://schemas.openxmlformats.org/officeDocument/2006/relationships" r:embed="rId2"/>
        <a:stretch>
          <a:fillRect/>
        </a:stretch>
      </xdr:blipFill>
      <xdr:spPr>
        <a:xfrm>
          <a:off x="3919727" y="2949197"/>
          <a:ext cx="0" cy="1172747"/>
        </a:xfrm>
        <a:prstGeom prst="rect">
          <a:avLst/>
        </a:prstGeom>
      </xdr:spPr>
    </xdr:pic>
    <xdr:clientData/>
  </xdr:twoCellAnchor>
  <xdr:twoCellAnchor>
    <xdr:from>
      <xdr:col>3</xdr:col>
      <xdr:colOff>943164</xdr:colOff>
      <xdr:row>6</xdr:row>
      <xdr:rowOff>1520447</xdr:rowOff>
    </xdr:from>
    <xdr:to>
      <xdr:col>3</xdr:col>
      <xdr:colOff>943164</xdr:colOff>
      <xdr:row>6</xdr:row>
      <xdr:rowOff>1520447</xdr:rowOff>
    </xdr:to>
    <xdr:pic>
      <xdr:nvPicPr>
        <xdr:cNvPr id="25" name="図 24">
          <a:extLst>
            <a:ext uri="{FF2B5EF4-FFF2-40B4-BE49-F238E27FC236}">
              <a16:creationId xmlns:a16="http://schemas.microsoft.com/office/drawing/2014/main" id="{D79C15D1-26EF-4E90-A594-3E9EB8E19552}"/>
            </a:ext>
          </a:extLst>
        </xdr:cNvPr>
        <xdr:cNvPicPr>
          <a:picLocks noChangeAspect="1"/>
        </xdr:cNvPicPr>
      </xdr:nvPicPr>
      <xdr:blipFill>
        <a:blip xmlns:r="http://schemas.openxmlformats.org/officeDocument/2006/relationships" r:embed="rId2"/>
        <a:stretch>
          <a:fillRect/>
        </a:stretch>
      </xdr:blipFill>
      <xdr:spPr>
        <a:xfrm>
          <a:off x="3919727" y="2949197"/>
          <a:ext cx="0" cy="0"/>
        </a:xfrm>
        <a:prstGeom prst="rect">
          <a:avLst/>
        </a:prstGeom>
      </xdr:spPr>
    </xdr:pic>
    <xdr:clientData/>
  </xdr:twoCellAnchor>
  <xdr:twoCellAnchor>
    <xdr:from>
      <xdr:col>3</xdr:col>
      <xdr:colOff>943164</xdr:colOff>
      <xdr:row>6</xdr:row>
      <xdr:rowOff>1520447</xdr:rowOff>
    </xdr:from>
    <xdr:to>
      <xdr:col>3</xdr:col>
      <xdr:colOff>943164</xdr:colOff>
      <xdr:row>6</xdr:row>
      <xdr:rowOff>1520447</xdr:rowOff>
    </xdr:to>
    <xdr:pic>
      <xdr:nvPicPr>
        <xdr:cNvPr id="40" name="図 39">
          <a:extLst>
            <a:ext uri="{FF2B5EF4-FFF2-40B4-BE49-F238E27FC236}">
              <a16:creationId xmlns:a16="http://schemas.microsoft.com/office/drawing/2014/main" id="{FF14CB96-7E79-4FF1-BE62-41F6EEA1DB07}"/>
            </a:ext>
          </a:extLst>
        </xdr:cNvPr>
        <xdr:cNvPicPr>
          <a:picLocks noChangeAspect="1"/>
        </xdr:cNvPicPr>
      </xdr:nvPicPr>
      <xdr:blipFill>
        <a:blip xmlns:r="http://schemas.openxmlformats.org/officeDocument/2006/relationships" r:embed="rId2"/>
        <a:stretch>
          <a:fillRect/>
        </a:stretch>
      </xdr:blipFill>
      <xdr:spPr>
        <a:xfrm>
          <a:off x="3919727" y="2949197"/>
          <a:ext cx="0" cy="0"/>
        </a:xfrm>
        <a:prstGeom prst="rect">
          <a:avLst/>
        </a:prstGeom>
      </xdr:spPr>
    </xdr:pic>
    <xdr:clientData/>
  </xdr:twoCellAnchor>
  <xdr:twoCellAnchor>
    <xdr:from>
      <xdr:col>3</xdr:col>
      <xdr:colOff>943164</xdr:colOff>
      <xdr:row>6</xdr:row>
      <xdr:rowOff>1520447</xdr:rowOff>
    </xdr:from>
    <xdr:to>
      <xdr:col>3</xdr:col>
      <xdr:colOff>943164</xdr:colOff>
      <xdr:row>6</xdr:row>
      <xdr:rowOff>1520447</xdr:rowOff>
    </xdr:to>
    <xdr:pic>
      <xdr:nvPicPr>
        <xdr:cNvPr id="42" name="図 41">
          <a:extLst>
            <a:ext uri="{FF2B5EF4-FFF2-40B4-BE49-F238E27FC236}">
              <a16:creationId xmlns:a16="http://schemas.microsoft.com/office/drawing/2014/main" id="{C1B1AA09-4901-441C-9897-EBC52FDE281F}"/>
            </a:ext>
          </a:extLst>
        </xdr:cNvPr>
        <xdr:cNvPicPr>
          <a:picLocks noChangeAspect="1"/>
        </xdr:cNvPicPr>
      </xdr:nvPicPr>
      <xdr:blipFill>
        <a:blip xmlns:r="http://schemas.openxmlformats.org/officeDocument/2006/relationships" r:embed="rId2"/>
        <a:stretch>
          <a:fillRect/>
        </a:stretch>
      </xdr:blipFill>
      <xdr:spPr>
        <a:xfrm>
          <a:off x="3919727" y="2949197"/>
          <a:ext cx="0" cy="0"/>
        </a:xfrm>
        <a:prstGeom prst="rect">
          <a:avLst/>
        </a:prstGeom>
      </xdr:spPr>
    </xdr:pic>
    <xdr:clientData/>
  </xdr:twoCellAnchor>
  <xdr:twoCellAnchor>
    <xdr:from>
      <xdr:col>3</xdr:col>
      <xdr:colOff>943164</xdr:colOff>
      <xdr:row>6</xdr:row>
      <xdr:rowOff>1520447</xdr:rowOff>
    </xdr:from>
    <xdr:to>
      <xdr:col>3</xdr:col>
      <xdr:colOff>943164</xdr:colOff>
      <xdr:row>6</xdr:row>
      <xdr:rowOff>1520447</xdr:rowOff>
    </xdr:to>
    <xdr:pic>
      <xdr:nvPicPr>
        <xdr:cNvPr id="44" name="図 43">
          <a:extLst>
            <a:ext uri="{FF2B5EF4-FFF2-40B4-BE49-F238E27FC236}">
              <a16:creationId xmlns:a16="http://schemas.microsoft.com/office/drawing/2014/main" id="{B2C1F0F3-40C1-44DC-85D0-49845D341B8D}"/>
            </a:ext>
          </a:extLst>
        </xdr:cNvPr>
        <xdr:cNvPicPr>
          <a:picLocks noChangeAspect="1"/>
        </xdr:cNvPicPr>
      </xdr:nvPicPr>
      <xdr:blipFill>
        <a:blip xmlns:r="http://schemas.openxmlformats.org/officeDocument/2006/relationships" r:embed="rId2"/>
        <a:stretch>
          <a:fillRect/>
        </a:stretch>
      </xdr:blipFill>
      <xdr:spPr>
        <a:xfrm>
          <a:off x="3919727" y="2949197"/>
          <a:ext cx="0" cy="0"/>
        </a:xfrm>
        <a:prstGeom prst="rect">
          <a:avLst/>
        </a:prstGeom>
      </xdr:spPr>
    </xdr:pic>
    <xdr:clientData/>
  </xdr:twoCellAnchor>
  <xdr:twoCellAnchor>
    <xdr:from>
      <xdr:col>3</xdr:col>
      <xdr:colOff>943164</xdr:colOff>
      <xdr:row>6</xdr:row>
      <xdr:rowOff>1520447</xdr:rowOff>
    </xdr:from>
    <xdr:to>
      <xdr:col>3</xdr:col>
      <xdr:colOff>943164</xdr:colOff>
      <xdr:row>6</xdr:row>
      <xdr:rowOff>1520447</xdr:rowOff>
    </xdr:to>
    <xdr:pic>
      <xdr:nvPicPr>
        <xdr:cNvPr id="47" name="図 46">
          <a:extLst>
            <a:ext uri="{FF2B5EF4-FFF2-40B4-BE49-F238E27FC236}">
              <a16:creationId xmlns:a16="http://schemas.microsoft.com/office/drawing/2014/main" id="{88F4AE62-2AF0-4D92-A123-05EC2B2DE670}"/>
            </a:ext>
          </a:extLst>
        </xdr:cNvPr>
        <xdr:cNvPicPr>
          <a:picLocks noChangeAspect="1"/>
        </xdr:cNvPicPr>
      </xdr:nvPicPr>
      <xdr:blipFill>
        <a:blip xmlns:r="http://schemas.openxmlformats.org/officeDocument/2006/relationships" r:embed="rId2"/>
        <a:stretch>
          <a:fillRect/>
        </a:stretch>
      </xdr:blipFill>
      <xdr:spPr>
        <a:xfrm>
          <a:off x="3919727" y="2949197"/>
          <a:ext cx="0" cy="0"/>
        </a:xfrm>
        <a:prstGeom prst="rect">
          <a:avLst/>
        </a:prstGeom>
      </xdr:spPr>
    </xdr:pic>
    <xdr:clientData/>
  </xdr:twoCellAnchor>
  <xdr:twoCellAnchor>
    <xdr:from>
      <xdr:col>3</xdr:col>
      <xdr:colOff>410558</xdr:colOff>
      <xdr:row>4</xdr:row>
      <xdr:rowOff>168085</xdr:rowOff>
    </xdr:from>
    <xdr:to>
      <xdr:col>16</xdr:col>
      <xdr:colOff>297657</xdr:colOff>
      <xdr:row>7</xdr:row>
      <xdr:rowOff>38101</xdr:rowOff>
    </xdr:to>
    <xdr:sp macro="" textlink="">
      <xdr:nvSpPr>
        <xdr:cNvPr id="53" name="テキスト ボックス 52">
          <a:extLst>
            <a:ext uri="{FF2B5EF4-FFF2-40B4-BE49-F238E27FC236}">
              <a16:creationId xmlns:a16="http://schemas.microsoft.com/office/drawing/2014/main" id="{6AB38ECE-8386-4144-A4EF-810588B00C96}"/>
            </a:ext>
          </a:extLst>
        </xdr:cNvPr>
        <xdr:cNvSpPr txBox="1"/>
      </xdr:nvSpPr>
      <xdr:spPr>
        <a:xfrm>
          <a:off x="3382358" y="977710"/>
          <a:ext cx="12660124" cy="38133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一つの断熱部位に複数の仕様がある場合は、断熱性能が低い仕様（熱抵抗 </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R </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が小さい方）について記入してください。</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「充填＋外張」断熱等のように一つの層構成において複数の断熱材を用いる場合は、</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 「②熱抵抗</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R</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入力方法」では「直接入力」を選択し、「⑧直接入力熱抵抗」に充填する断熱材と外張の断熱材の熱抵抗の合計値を入力します。</a:t>
          </a: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 「③断熱工法」では「軸組充填」または「枠組充填」を選択します。　</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baseline="0">
              <a:solidFill>
                <a:sysClr val="windowText" lastClr="000000"/>
              </a:solidFill>
              <a:latin typeface="BIZ UDPゴシック" panose="020B0400000000000000" pitchFamily="50" charset="-128"/>
              <a:ea typeface="BIZ UDPゴシック" panose="020B0400000000000000" pitchFamily="50" charset="-128"/>
            </a:rPr>
            <a:t>◎　下記①～⑨は、表の項目列①～⑨の入力について説明します。</a:t>
          </a:r>
          <a:endParaRPr kumimoji="1" lang="en-US" altLang="ja-JP" sz="1200" b="0" baseline="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baseline="0">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①　断熱対象部位の場合は「断熱部位」、断熱対象部位でない場合は「該当部位なし」を選択します。</a:t>
          </a: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②　選択肢　「直接入力」は、製品カタログやホームページに掲載がある断熱材の熱抵抗を直接入力する場合に選択します。</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（「⑨備考欄」に参照したカタログや</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WEB</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、製品名、メーカー名、厚さ</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[mm]</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、添付する根拠資料の名称、熱伝導率（わかる場合）の記載をします）。</a:t>
          </a: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選択肢　「断熱材の種類から入力」は、断熱材の種類と厚さから熱抵抗を計算する場合に選択します。</a:t>
          </a: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③　断熱工法を選択します。「外張」は軸組、枠組共通です。</a:t>
          </a: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④　断熱材の種類を選択します。使用する製品の「断熱材種類」が不明の場合は製品カタログも合わせてご確認ください。参考：シート　「登録値</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_</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断熱材</a:t>
          </a:r>
          <a:r>
            <a:rPr kumimoji="1" lang="el-GR" altLang="ja-JP" sz="1200" b="0">
              <a:solidFill>
                <a:sysClr val="windowText" lastClr="000000"/>
              </a:solidFill>
              <a:latin typeface="BIZ UDPゴシック" panose="020B0400000000000000" pitchFamily="50" charset="-128"/>
              <a:ea typeface="BIZ UDPゴシック" panose="020B0400000000000000" pitchFamily="50" charset="-128"/>
            </a:rPr>
            <a:t>λ</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値」</a:t>
          </a: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⑤　断熱材の種類を選択すると自動的に表示されます。</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JIS</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で定められた値です。</a:t>
          </a: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⑥　④で選択した断熱材の厚さをミリ単位で入力します。</a:t>
          </a: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⑦　熱抵抗</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R</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の計算は「厚さ</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熱伝導率」で計算し小数点第２位以下を切り捨てした値を表示します。製品カタログの値と異なる場合があります。</a:t>
          </a: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⑧　熱抵抗</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R</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を直接入力する場合は、製品カタログやホームページに掲載の値を入力します。設計値では小数点第２位以下を切り捨てした値を表示します。</a:t>
          </a: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⑨　熱抵抗</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R</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を直接入力した場合、参照した資料　製品名、メーカー名、・厚さ［㎜］、添付する根拠資料の名称、熱伝導率（わかる場合）を記載します。</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200" b="0">
              <a:solidFill>
                <a:srgbClr val="00B0F0"/>
              </a:solidFill>
              <a:latin typeface="BIZ UDPゴシック" panose="020B0400000000000000" pitchFamily="50" charset="-128"/>
              <a:ea typeface="BIZ UDPゴシック" panose="020B0400000000000000" pitchFamily="50" charset="-128"/>
            </a:rPr>
            <a:t> </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仕様表への表示は二行を想定しているため、改行を入れると文字が読めなくなる可能性があります。</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xdr:col>
      <xdr:colOff>231834</xdr:colOff>
      <xdr:row>22</xdr:row>
      <xdr:rowOff>38100</xdr:rowOff>
    </xdr:from>
    <xdr:to>
      <xdr:col>3</xdr:col>
      <xdr:colOff>231834</xdr:colOff>
      <xdr:row>22</xdr:row>
      <xdr:rowOff>4178100</xdr:rowOff>
    </xdr:to>
    <xdr:cxnSp macro="">
      <xdr:nvCxnSpPr>
        <xdr:cNvPr id="51" name="直線コネクタ 50">
          <a:extLst>
            <a:ext uri="{FF2B5EF4-FFF2-40B4-BE49-F238E27FC236}">
              <a16:creationId xmlns:a16="http://schemas.microsoft.com/office/drawing/2014/main" id="{DD6BFF4E-E709-4B83-B0B7-9786AC2C73C4}"/>
            </a:ext>
          </a:extLst>
        </xdr:cNvPr>
        <xdr:cNvCxnSpPr/>
      </xdr:nvCxnSpPr>
      <xdr:spPr>
        <a:xfrm flipH="1">
          <a:off x="3208397" y="10729913"/>
          <a:ext cx="0" cy="4140000"/>
        </a:xfrm>
        <a:prstGeom prst="line">
          <a:avLst/>
        </a:prstGeom>
        <a:ln w="15875">
          <a:solidFill>
            <a:schemeClr val="tx1">
              <a:lumMod val="50000"/>
              <a:lumOff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412754</xdr:colOff>
      <xdr:row>21</xdr:row>
      <xdr:rowOff>164028</xdr:rowOff>
    </xdr:from>
    <xdr:to>
      <xdr:col>21</xdr:col>
      <xdr:colOff>559593</xdr:colOff>
      <xdr:row>23</xdr:row>
      <xdr:rowOff>142875</xdr:rowOff>
    </xdr:to>
    <xdr:sp macro="" textlink="">
      <xdr:nvSpPr>
        <xdr:cNvPr id="32" name="テキスト ボックス 31">
          <a:extLst>
            <a:ext uri="{FF2B5EF4-FFF2-40B4-BE49-F238E27FC236}">
              <a16:creationId xmlns:a16="http://schemas.microsoft.com/office/drawing/2014/main" id="{1DE51210-AF2A-4947-B67E-213437F74042}"/>
            </a:ext>
          </a:extLst>
        </xdr:cNvPr>
        <xdr:cNvSpPr txBox="1"/>
      </xdr:nvSpPr>
      <xdr:spPr>
        <a:xfrm>
          <a:off x="3389317" y="10689153"/>
          <a:ext cx="17910964" cy="43722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複数の仕様がある場合は、性能が低い仕様（熱貫流率 </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U </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が大きい方、開口部の日射熱取得率 </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η</a:t>
          </a:r>
          <a:r>
            <a:rPr kumimoji="1" lang="en-US" altLang="ja-JP" sz="1400" b="0" baseline="-25000">
              <a:solidFill>
                <a:sysClr val="windowText" lastClr="000000"/>
              </a:solidFill>
              <a:latin typeface="BIZ UDPゴシック" panose="020B0400000000000000" pitchFamily="50" charset="-128"/>
              <a:ea typeface="BIZ UDPゴシック" panose="020B0400000000000000" pitchFamily="50" charset="-128"/>
            </a:rPr>
            <a:t>d</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が大きい方）を記入してください。</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有効なひさし等がない所に設置する窓では、熱貫流率 Ｕ</a:t>
          </a:r>
          <a:r>
            <a:rPr kumimoji="1" lang="ja-JP" altLang="ja-JP" sz="1100" b="0">
              <a:solidFill>
                <a:sysClr val="windowText" lastClr="000000"/>
              </a:solidFill>
              <a:effectLst/>
              <a:latin typeface="+mn-lt"/>
              <a:ea typeface="+mn-ea"/>
              <a:cs typeface="+mn-cs"/>
            </a:rPr>
            <a:t> </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が最大の窓と開口部の日射熱取得率 </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η</a:t>
          </a:r>
          <a:r>
            <a:rPr kumimoji="1" lang="en-US" altLang="ja-JP" sz="1400" b="0" baseline="-25000">
              <a:solidFill>
                <a:sysClr val="windowText" lastClr="000000"/>
              </a:solidFill>
              <a:latin typeface="BIZ UDPゴシック" panose="020B0400000000000000" pitchFamily="50" charset="-128"/>
              <a:ea typeface="BIZ UDPゴシック" panose="020B0400000000000000" pitchFamily="50" charset="-128"/>
            </a:rPr>
            <a:t>d</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が最大の窓をそれぞれ記入してください。</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200" b="0" baseline="0">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熱貫流率 Ｕ が最大の窓と開口部の日射熱取得率 </a:t>
          </a:r>
          <a:r>
            <a:rPr kumimoji="1" lang="el-GR" altLang="ja-JP" sz="1200" b="0">
              <a:solidFill>
                <a:sysClr val="windowText" lastClr="000000"/>
              </a:solidFill>
              <a:latin typeface="BIZ UDPゴシック" panose="020B0400000000000000" pitchFamily="50" charset="-128"/>
              <a:ea typeface="BIZ UDPゴシック" panose="020B0400000000000000" pitchFamily="50" charset="-128"/>
            </a:rPr>
            <a:t>η</a:t>
          </a:r>
          <a:r>
            <a:rPr kumimoji="1" lang="en-US" altLang="ja-JP" sz="1400" b="0" baseline="-25000">
              <a:solidFill>
                <a:sysClr val="windowText" lastClr="000000"/>
              </a:solidFill>
              <a:latin typeface="BIZ UDPゴシック" panose="020B0400000000000000" pitchFamily="50" charset="-128"/>
              <a:ea typeface="BIZ UDPゴシック" panose="020B0400000000000000" pitchFamily="50" charset="-128"/>
            </a:rPr>
            <a:t>d</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が最大の窓が同じ場合、上の行「熱貫流率</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U</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が最大の窓」の行に記入し、下の行は①はあり、⑨に「Ｕが最大の窓と同じ仕様」と記入してください。</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有効なひさし等がある所に設置する窓とない所の両方に設置する窓がある場合、両方を仕様表に記載する必要があります。</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下記①～⑨は、表の項目列①～⑨の入力について説明します。</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①　有効なひさし、軒等が</a:t>
          </a:r>
          <a:r>
            <a:rPr kumimoji="1" lang="ja-JP" altLang="en-US" sz="1200" b="0" u="sng">
              <a:solidFill>
                <a:sysClr val="windowText" lastClr="000000"/>
              </a:solidFill>
              <a:latin typeface="BIZ UDPゴシック" panose="020B0400000000000000" pitchFamily="50" charset="-128"/>
              <a:ea typeface="BIZ UDPゴシック" panose="020B0400000000000000" pitchFamily="50" charset="-128"/>
            </a:rPr>
            <a:t>ある</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ところに設置する窓がある場合は「あり」、</a:t>
          </a:r>
          <a:r>
            <a:rPr kumimoji="1" lang="ja-JP"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有効なひさし、軒等が</a:t>
          </a:r>
          <a:r>
            <a:rPr kumimoji="1" lang="ja-JP" altLang="en-US" sz="1200" b="0" u="sng">
              <a:solidFill>
                <a:sysClr val="windowText" lastClr="000000"/>
              </a:solidFill>
              <a:effectLst/>
              <a:latin typeface="BIZ UDPゴシック" panose="020B0400000000000000" pitchFamily="50" charset="-128"/>
              <a:ea typeface="BIZ UDPゴシック" panose="020B0400000000000000" pitchFamily="50" charset="-128"/>
              <a:cs typeface="+mn-cs"/>
            </a:rPr>
            <a:t>ない</a:t>
          </a:r>
          <a:r>
            <a:rPr kumimoji="1" lang="ja-JP"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ところに設置する窓がある場合は「</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なし</a:t>
          </a:r>
          <a:r>
            <a:rPr kumimoji="1" lang="ja-JP"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を選択します。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②　選択肢</a:t>
          </a:r>
          <a:r>
            <a:rPr kumimoji="1" lang="ja-JP"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「直接入力」　は、製品カタログやホームページ、自己適合宣言附属書から直接入力する方法です。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選択肢　「建具とガラスの組み合わせから入力」　は、建具、ガラスの仕様を選択して入力する方法です。参考：シート　「登録値</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_</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窓、ドアの</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U</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値</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el-GR"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η</a:t>
          </a:r>
          <a:r>
            <a:rPr kumimoji="1" lang="en-US" altLang="ja-JP" sz="1400" b="0" baseline="-25000">
              <a:solidFill>
                <a:sysClr val="windowText" lastClr="000000"/>
              </a:solidFill>
              <a:effectLst/>
              <a:latin typeface="BIZ UDPゴシック" panose="020B0400000000000000" pitchFamily="50" charset="-128"/>
              <a:ea typeface="BIZ UDPゴシック" panose="020B0400000000000000" pitchFamily="50" charset="-128"/>
              <a:cs typeface="+mn-cs"/>
            </a:rPr>
            <a:t>d</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値」</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ja-JP" sz="1100" b="0">
              <a:solidFill>
                <a:schemeClr val="tx1"/>
              </a:solidFill>
              <a:effectLst/>
              <a:latin typeface="+mn-lt"/>
              <a:ea typeface="+mn-ea"/>
              <a:cs typeface="+mn-cs"/>
            </a:rPr>
            <a:t>　　　　　  </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選択肢　「建具とガラスの組み合わせから入力」　の場合、</a:t>
          </a: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設計値</a:t>
          </a:r>
          <a:r>
            <a:rPr kumimoji="1" lang="en-US" altLang="ja-JP" sz="1200" b="1">
              <a:solidFill>
                <a:sysClr val="windowText" lastClr="000000"/>
              </a:solidFill>
              <a:effectLst/>
              <a:latin typeface="BIZ UDPゴシック" panose="020B0400000000000000" pitchFamily="50" charset="-128"/>
              <a:ea typeface="BIZ UDPゴシック" panose="020B0400000000000000" pitchFamily="50" charset="-128"/>
              <a:cs typeface="+mn-cs"/>
            </a:rPr>
            <a:t>U</a:t>
          </a: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は小数点第２位を四捨五入した値　（例えば </a:t>
          </a:r>
          <a:r>
            <a:rPr kumimoji="1" lang="en-US" altLang="ja-JP" sz="1200" b="1">
              <a:solidFill>
                <a:sysClr val="windowText" lastClr="000000"/>
              </a:solidFill>
              <a:effectLst/>
              <a:latin typeface="BIZ UDPゴシック" panose="020B0400000000000000" pitchFamily="50" charset="-128"/>
              <a:ea typeface="BIZ UDPゴシック" panose="020B0400000000000000" pitchFamily="50" charset="-128"/>
              <a:cs typeface="+mn-cs"/>
            </a:rPr>
            <a:t>2.33→2.3 </a:t>
          </a: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等）　に読み替えて表示</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します。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③　建具の仕様を選択します。</a:t>
          </a:r>
          <a:r>
            <a:rPr kumimoji="1" lang="ja-JP" altLang="en-US" sz="1200" b="0">
              <a:solidFill>
                <a:srgbClr val="FF0066"/>
              </a:solidFill>
              <a:effectLst/>
              <a:latin typeface="BIZ UDPゴシック" panose="020B0400000000000000" pitchFamily="50" charset="-128"/>
              <a:ea typeface="BIZ UDPゴシック" panose="020B0400000000000000" pitchFamily="50" charset="-128"/>
              <a:cs typeface="+mn-cs"/>
            </a:rPr>
            <a:t>③⇒④⇒⑤⇒⑥の順に選択</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してください。全て選択後に窓の熱貫流率、日射熱取得率</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η</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が自動で表示されます。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「選択肢チェック」　に　「正しく選択されています」　以外が表示されている場合は、③⇒④⇒⑤⇒⑥の順に再度選択してください。　「選択肢チェック」　は表の一番右側に表示があります。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④　ガラスの仕様を選択します。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⑤　二層複層ガラス・三層複層ガラスの場合は、中空層の仕様を選択します。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kumimoji="1" lang="ja-JP" altLang="en-US" sz="1200" b="0" baseline="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中空層の厚さなど仕様が未定・不明な場合は、最も性能が低い仕様（ガスの封入されていない</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_</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中空層が薄い仕様）を選択してください。</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⑥　</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Low-E</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ガラスの場合、日射取得／遮蔽を選択します。</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Low-E</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ガラス以外の場合、「－」を選択してください。</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⑦　窓の熱貫流率</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U</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を直接入力する場合は、製品カタログやホームページ、自己適合宣言附属書に記載の値を入力します。</a:t>
          </a: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設計値</a:t>
          </a:r>
          <a:r>
            <a:rPr kumimoji="1" lang="en-US" altLang="ja-JP" sz="1200" b="1">
              <a:solidFill>
                <a:sysClr val="windowText" lastClr="000000"/>
              </a:solidFill>
              <a:effectLst/>
              <a:latin typeface="BIZ UDPゴシック" panose="020B0400000000000000" pitchFamily="50" charset="-128"/>
              <a:ea typeface="BIZ UDPゴシック" panose="020B0400000000000000" pitchFamily="50" charset="-128"/>
              <a:cs typeface="+mn-cs"/>
            </a:rPr>
            <a:t>U</a:t>
          </a: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は小数点第２位を四捨五入した値　（例えば </a:t>
          </a:r>
          <a:r>
            <a:rPr kumimoji="1" lang="en-US" altLang="ja-JP" sz="1200" b="1">
              <a:solidFill>
                <a:sysClr val="windowText" lastClr="000000"/>
              </a:solidFill>
              <a:effectLst/>
              <a:latin typeface="BIZ UDPゴシック" panose="020B0400000000000000" pitchFamily="50" charset="-128"/>
              <a:ea typeface="BIZ UDPゴシック" panose="020B0400000000000000" pitchFamily="50" charset="-128"/>
              <a:cs typeface="+mn-cs"/>
            </a:rPr>
            <a:t>2.33→2.3 </a:t>
          </a: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等）　に読み替えて表示</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します。</a:t>
          </a: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⑧　窓の日射熱取得率</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η</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を直接入力する場合は、製品カタログやホームページ、自己適合宣言附属書に記載の値を入力します。</a:t>
          </a: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設計値</a:t>
          </a:r>
          <a:r>
            <a:rPr kumimoji="1" lang="en-US" altLang="ja-JP" sz="1200" b="1">
              <a:solidFill>
                <a:sysClr val="windowText" lastClr="000000"/>
              </a:solidFill>
              <a:effectLst/>
              <a:latin typeface="BIZ UDPゴシック" panose="020B0400000000000000" pitchFamily="50" charset="-128"/>
              <a:ea typeface="BIZ UDPゴシック" panose="020B0400000000000000" pitchFamily="50" charset="-128"/>
              <a:cs typeface="+mn-cs"/>
            </a:rPr>
            <a:t>η</a:t>
          </a: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では入力した値を小数点第２位まで表示</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します。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⑨　②選択肢で「直接入力」を選択した場合、製品カタログやホームページ、自己適合宣言附属書の№を記載し、　</a:t>
          </a:r>
          <a:r>
            <a:rPr kumimoji="1" lang="en-US" altLang="ja-JP" sz="1200" b="1">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自己適合宣言書と同附属書</a:t>
          </a:r>
          <a:r>
            <a:rPr kumimoji="1" lang="en-US" altLang="ja-JP" sz="1200" b="1">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を添付してください。</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3</xdr:col>
      <xdr:colOff>233293</xdr:colOff>
      <xdr:row>36</xdr:row>
      <xdr:rowOff>27514</xdr:rowOff>
    </xdr:from>
    <xdr:to>
      <xdr:col>3</xdr:col>
      <xdr:colOff>233293</xdr:colOff>
      <xdr:row>36</xdr:row>
      <xdr:rowOff>2799514</xdr:rowOff>
    </xdr:to>
    <xdr:cxnSp macro="">
      <xdr:nvCxnSpPr>
        <xdr:cNvPr id="72" name="直線コネクタ 71">
          <a:extLst>
            <a:ext uri="{FF2B5EF4-FFF2-40B4-BE49-F238E27FC236}">
              <a16:creationId xmlns:a16="http://schemas.microsoft.com/office/drawing/2014/main" id="{AC87B12B-B8E4-4C10-A3C8-9AF13B4E7D4C}"/>
            </a:ext>
          </a:extLst>
        </xdr:cNvPr>
        <xdr:cNvCxnSpPr/>
      </xdr:nvCxnSpPr>
      <xdr:spPr>
        <a:xfrm flipH="1">
          <a:off x="3209856" y="19089420"/>
          <a:ext cx="0" cy="2772000"/>
        </a:xfrm>
        <a:prstGeom prst="line">
          <a:avLst/>
        </a:prstGeom>
        <a:ln w="15875">
          <a:solidFill>
            <a:schemeClr val="tx1">
              <a:lumMod val="50000"/>
              <a:lumOff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416717</xdr:colOff>
      <xdr:row>36</xdr:row>
      <xdr:rowOff>5281</xdr:rowOff>
    </xdr:from>
    <xdr:to>
      <xdr:col>21</xdr:col>
      <xdr:colOff>309561</xdr:colOff>
      <xdr:row>37</xdr:row>
      <xdr:rowOff>71437</xdr:rowOff>
    </xdr:to>
    <xdr:sp macro="" textlink="">
      <xdr:nvSpPr>
        <xdr:cNvPr id="73" name="テキスト ボックス 72">
          <a:extLst>
            <a:ext uri="{FF2B5EF4-FFF2-40B4-BE49-F238E27FC236}">
              <a16:creationId xmlns:a16="http://schemas.microsoft.com/office/drawing/2014/main" id="{389FEF00-BD51-4C68-87E7-4FB56FE18ABC}"/>
            </a:ext>
          </a:extLst>
        </xdr:cNvPr>
        <xdr:cNvSpPr txBox="1"/>
      </xdr:nvSpPr>
      <xdr:spPr>
        <a:xfrm>
          <a:off x="3393280" y="19067187"/>
          <a:ext cx="17656969" cy="29474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複数の仕様がある場合は、性能が低い仕様（熱貫流率 </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U </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が大きい方）を記入してください。</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「枠と戸の組合せ入力」　で自動表示される熱貫流率Ｕは、　「ポストなしのドア」　の値です。ポストありドアは、　「直接入力」　を選択して入力してください。</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下記①～⑥は、表の項目列①～⑥の入力について説明します。</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①　選択肢</a:t>
          </a:r>
          <a:r>
            <a:rPr kumimoji="1" lang="ja-JP"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「直接入力」　は、製品カタログやホームページ、自己適合宣言附属書から直接入力する方法です。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選択肢　「枠と戸の組み合わせから入力」　は、枠、戸、ガラスの仕様を選択して入力する方法です。参考：シート　「登録値</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_</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窓、ドアの</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U</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値</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el-GR"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η</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d</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値」</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ja-JP" sz="1100" b="0">
              <a:solidFill>
                <a:schemeClr val="tx1"/>
              </a:solidFill>
              <a:effectLst/>
              <a:latin typeface="+mn-lt"/>
              <a:ea typeface="+mn-ea"/>
              <a:cs typeface="+mn-cs"/>
            </a:rPr>
            <a:t>　　　　　</a:t>
          </a:r>
          <a:r>
            <a:rPr kumimoji="1" lang="ja-JP" altLang="en-US" sz="1100" b="0" baseline="0">
              <a:solidFill>
                <a:schemeClr val="tx1"/>
              </a:solidFill>
              <a:effectLst/>
              <a:latin typeface="+mn-lt"/>
              <a:ea typeface="+mn-ea"/>
              <a:cs typeface="+mn-cs"/>
            </a:rPr>
            <a:t>  </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選択肢　「枠と戸の組み合わせから入力」　の場合、</a:t>
          </a: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設計値</a:t>
          </a:r>
          <a:r>
            <a:rPr kumimoji="1" lang="en-US" altLang="ja-JP" sz="1200" b="1">
              <a:solidFill>
                <a:sysClr val="windowText" lastClr="000000"/>
              </a:solidFill>
              <a:effectLst/>
              <a:latin typeface="BIZ UDPゴシック" panose="020B0400000000000000" pitchFamily="50" charset="-128"/>
              <a:ea typeface="BIZ UDPゴシック" panose="020B0400000000000000" pitchFamily="50" charset="-128"/>
              <a:cs typeface="+mn-cs"/>
            </a:rPr>
            <a:t>U</a:t>
          </a: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は小数点第２位を四捨五入した値　（例えば </a:t>
          </a:r>
          <a:r>
            <a:rPr kumimoji="1" lang="en-US" altLang="ja-JP" sz="1200" b="1">
              <a:solidFill>
                <a:sysClr val="windowText" lastClr="000000"/>
              </a:solidFill>
              <a:effectLst/>
              <a:latin typeface="BIZ UDPゴシック" panose="020B0400000000000000" pitchFamily="50" charset="-128"/>
              <a:ea typeface="BIZ UDPゴシック" panose="020B0400000000000000" pitchFamily="50" charset="-128"/>
              <a:cs typeface="+mn-cs"/>
            </a:rPr>
            <a:t>2.33→2.3 </a:t>
          </a: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等）　に、読み替えて表示</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します。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②　枠の仕様を選択します。</a:t>
          </a:r>
          <a:r>
            <a:rPr kumimoji="1" lang="ja-JP" altLang="en-US" sz="1200" b="0">
              <a:solidFill>
                <a:srgbClr val="FF0066"/>
              </a:solidFill>
              <a:effectLst/>
              <a:latin typeface="BIZ UDPゴシック" panose="020B0400000000000000" pitchFamily="50" charset="-128"/>
              <a:ea typeface="BIZ UDPゴシック" panose="020B0400000000000000" pitchFamily="50" charset="-128"/>
              <a:cs typeface="+mn-cs"/>
            </a:rPr>
            <a:t>②⇒③⇒④の順に選択</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してください。全て選択後にドアの熱貫流率が自動で表示されます。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kumimoji="1" lang="ja-JP" altLang="en-US" sz="1200" b="0" baseline="0">
              <a:solidFill>
                <a:sysClr val="windowText" lastClr="000000"/>
              </a:solidFill>
              <a:effectLst/>
              <a:latin typeface="BIZ UDPゴシック" panose="020B0400000000000000" pitchFamily="50" charset="-128"/>
              <a:ea typeface="BIZ UDPゴシック" panose="020B0400000000000000" pitchFamily="50" charset="-128"/>
              <a:cs typeface="+mn-cs"/>
            </a:rPr>
            <a:t> 　　　「選択肢チェック」　に　「正しく選択されています」　以外が表示されている場合は、②⇒③⇒④の順に再度選択してください。</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③　戸の仕様を選択します。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④　ガラスの仕様、中空層の仕様を選択します。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⑤　ドアの熱貫流率</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U</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を直接入力する場合は、製品カタログやホームページ、自己適合宣言附属書に記載の値を入力します。</a:t>
          </a: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設計値</a:t>
          </a:r>
          <a:r>
            <a:rPr kumimoji="1" lang="en-US" altLang="ja-JP" sz="1200" b="1">
              <a:solidFill>
                <a:sysClr val="windowText" lastClr="000000"/>
              </a:solidFill>
              <a:effectLst/>
              <a:latin typeface="BIZ UDPゴシック" panose="020B0400000000000000" pitchFamily="50" charset="-128"/>
              <a:ea typeface="BIZ UDPゴシック" panose="020B0400000000000000" pitchFamily="50" charset="-128"/>
              <a:cs typeface="+mn-cs"/>
            </a:rPr>
            <a:t>U</a:t>
          </a: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は小数点第２位を四捨五入した値　（例えば </a:t>
          </a:r>
          <a:r>
            <a:rPr kumimoji="1" lang="en-US" altLang="ja-JP" sz="1200" b="1">
              <a:solidFill>
                <a:sysClr val="windowText" lastClr="000000"/>
              </a:solidFill>
              <a:effectLst/>
              <a:latin typeface="BIZ UDPゴシック" panose="020B0400000000000000" pitchFamily="50" charset="-128"/>
              <a:ea typeface="BIZ UDPゴシック" panose="020B0400000000000000" pitchFamily="50" charset="-128"/>
              <a:cs typeface="+mn-cs"/>
            </a:rPr>
            <a:t>2.33→2.3 </a:t>
          </a: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等）　に読み替えて表示</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します。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⑥　①選択肢で「直接入力」を選択した場合、製品カタログやホームページ、自己適合宣言附属書の№を記載し、　</a:t>
          </a:r>
          <a:r>
            <a:rPr kumimoji="1" lang="en-US" altLang="ja-JP" sz="1200" b="1">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自己適合宣言書と同附属書</a:t>
          </a:r>
          <a:r>
            <a:rPr kumimoji="1" lang="en-US" altLang="ja-JP" sz="1200" b="1">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を添付してください。</a:t>
          </a:r>
        </a:p>
        <a:p>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16</xdr:col>
      <xdr:colOff>535787</xdr:colOff>
      <xdr:row>0</xdr:row>
      <xdr:rowOff>95254</xdr:rowOff>
    </xdr:from>
    <xdr:to>
      <xdr:col>18</xdr:col>
      <xdr:colOff>683631</xdr:colOff>
      <xdr:row>2</xdr:row>
      <xdr:rowOff>98373</xdr:rowOff>
    </xdr:to>
    <xdr:sp macro="" textlink="">
      <xdr:nvSpPr>
        <xdr:cNvPr id="7" name="四角形: 角を丸くする 6">
          <a:extLst>
            <a:ext uri="{FF2B5EF4-FFF2-40B4-BE49-F238E27FC236}">
              <a16:creationId xmlns:a16="http://schemas.microsoft.com/office/drawing/2014/main" id="{544BF5A7-0143-4444-9882-80589286DF0A}"/>
            </a:ext>
          </a:extLst>
        </xdr:cNvPr>
        <xdr:cNvSpPr/>
      </xdr:nvSpPr>
      <xdr:spPr>
        <a:xfrm>
          <a:off x="16204412" y="95254"/>
          <a:ext cx="2148094" cy="538900"/>
        </a:xfrm>
        <a:prstGeom prst="roundRect">
          <a:avLst/>
        </a:prstGeom>
        <a:solidFill>
          <a:schemeClr val="tx2">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17</xdr:col>
      <xdr:colOff>630480</xdr:colOff>
      <xdr:row>0</xdr:row>
      <xdr:rowOff>142879</xdr:rowOff>
    </xdr:from>
    <xdr:ext cx="697627" cy="425758"/>
    <xdr:sp macro="" textlink="">
      <xdr:nvSpPr>
        <xdr:cNvPr id="8" name="テキスト ボックス 7">
          <a:extLst>
            <a:ext uri="{FF2B5EF4-FFF2-40B4-BE49-F238E27FC236}">
              <a16:creationId xmlns:a16="http://schemas.microsoft.com/office/drawing/2014/main" id="{D3ED506D-FAA3-45BC-B3FF-D5CF0C074003}"/>
            </a:ext>
          </a:extLst>
        </xdr:cNvPr>
        <xdr:cNvSpPr txBox="1"/>
      </xdr:nvSpPr>
      <xdr:spPr>
        <a:xfrm>
          <a:off x="17275418" y="142879"/>
          <a:ext cx="697627"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b="1">
              <a:solidFill>
                <a:schemeClr val="bg1"/>
              </a:solidFill>
              <a:latin typeface="BIZ UDPゴシック" panose="020B0400000000000000" pitchFamily="50" charset="-128"/>
              <a:ea typeface="BIZ UDPゴシック" panose="020B0400000000000000" pitchFamily="50" charset="-128"/>
            </a:rPr>
            <a:t>印刷</a:t>
          </a:r>
          <a:endParaRPr kumimoji="1" lang="en-US" altLang="ja-JP" sz="2000" b="1">
            <a:solidFill>
              <a:schemeClr val="bg1"/>
            </a:solidFill>
            <a:latin typeface="BIZ UDPゴシック" panose="020B0400000000000000" pitchFamily="50" charset="-128"/>
            <a:ea typeface="BIZ UDPゴシック" panose="020B0400000000000000" pitchFamily="50" charset="-128"/>
          </a:endParaRPr>
        </a:p>
      </xdr:txBody>
    </xdr:sp>
    <xdr:clientData/>
  </xdr:oneCellAnchor>
  <xdr:twoCellAnchor editAs="oneCell">
    <xdr:from>
      <xdr:col>16</xdr:col>
      <xdr:colOff>827489</xdr:colOff>
      <xdr:row>0</xdr:row>
      <xdr:rowOff>136924</xdr:rowOff>
    </xdr:from>
    <xdr:to>
      <xdr:col>17</xdr:col>
      <xdr:colOff>307968</xdr:colOff>
      <xdr:row>2</xdr:row>
      <xdr:rowOff>69143</xdr:rowOff>
    </xdr:to>
    <xdr:pic>
      <xdr:nvPicPr>
        <xdr:cNvPr id="9" name="グラフィックス 22" descr="プリンター 単色塗りつぶし">
          <a:extLst>
            <a:ext uri="{FF2B5EF4-FFF2-40B4-BE49-F238E27FC236}">
              <a16:creationId xmlns:a16="http://schemas.microsoft.com/office/drawing/2014/main" id="{E6306561-E0CA-4120-98B9-1F9CF701E84F}"/>
            </a:ext>
          </a:extLst>
        </xdr:cNvPr>
        <xdr:cNvPicPr>
          <a:picLocks noChangeAspect="1"/>
        </xdr:cNvPicPr>
      </xdr:nvPicPr>
      <xdr:blipFill>
        <a:blip xmlns:r="http://schemas.openxmlformats.org/officeDocument/2006/relationships"/>
        <a:stretch>
          <a:fillRect/>
        </a:stretch>
      </xdr:blipFill>
      <xdr:spPr>
        <a:xfrm>
          <a:off x="16496114" y="136924"/>
          <a:ext cx="456792" cy="468000"/>
        </a:xfrm>
        <a:prstGeom prst="rect">
          <a:avLst/>
        </a:prstGeom>
      </xdr:spPr>
    </xdr:pic>
    <xdr:clientData/>
  </xdr:twoCellAnchor>
  <xdr:oneCellAnchor>
    <xdr:from>
      <xdr:col>1</xdr:col>
      <xdr:colOff>790572</xdr:colOff>
      <xdr:row>5</xdr:row>
      <xdr:rowOff>4767</xdr:rowOff>
    </xdr:from>
    <xdr:ext cx="1975862" cy="392415"/>
    <xdr:sp macro="" textlink="">
      <xdr:nvSpPr>
        <xdr:cNvPr id="60" name="テキスト ボックス 59">
          <a:extLst>
            <a:ext uri="{FF2B5EF4-FFF2-40B4-BE49-F238E27FC236}">
              <a16:creationId xmlns:a16="http://schemas.microsoft.com/office/drawing/2014/main" id="{3C0C55C2-AC01-4AEB-0D69-181780507B94}"/>
            </a:ext>
          </a:extLst>
        </xdr:cNvPr>
        <xdr:cNvSpPr txBox="1"/>
      </xdr:nvSpPr>
      <xdr:spPr>
        <a:xfrm>
          <a:off x="1040603" y="1123955"/>
          <a:ext cx="1975862"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b="1">
              <a:latin typeface="BIZ UDPゴシック" panose="020B0400000000000000" pitchFamily="50" charset="-128"/>
              <a:ea typeface="BIZ UDPゴシック" panose="020B0400000000000000" pitchFamily="50" charset="-128"/>
            </a:rPr>
            <a:t>断熱材の熱抵抗</a:t>
          </a:r>
          <a:r>
            <a:rPr kumimoji="1" lang="en-US" altLang="ja-JP" sz="1800" b="1">
              <a:latin typeface="BIZ UDPゴシック" panose="020B0400000000000000" pitchFamily="50" charset="-128"/>
              <a:ea typeface="BIZ UDPゴシック" panose="020B0400000000000000" pitchFamily="50" charset="-128"/>
            </a:rPr>
            <a:t>R</a:t>
          </a:r>
          <a:endParaRPr kumimoji="1" lang="ja-JP" altLang="en-US" sz="1800" b="1">
            <a:latin typeface="BIZ UDPゴシック" panose="020B0400000000000000" pitchFamily="50" charset="-128"/>
            <a:ea typeface="BIZ UDPゴシック" panose="020B0400000000000000" pitchFamily="50" charset="-128"/>
          </a:endParaRPr>
        </a:p>
      </xdr:txBody>
    </xdr:sp>
    <xdr:clientData/>
  </xdr:oneCellAnchor>
  <xdr:twoCellAnchor editAs="oneCell">
    <xdr:from>
      <xdr:col>1</xdr:col>
      <xdr:colOff>14283</xdr:colOff>
      <xdr:row>4</xdr:row>
      <xdr:rowOff>209328</xdr:rowOff>
    </xdr:from>
    <xdr:to>
      <xdr:col>1</xdr:col>
      <xdr:colOff>726819</xdr:colOff>
      <xdr:row>6</xdr:row>
      <xdr:rowOff>310203</xdr:rowOff>
    </xdr:to>
    <xdr:pic>
      <xdr:nvPicPr>
        <xdr:cNvPr id="87" name="図 86">
          <a:extLst>
            <a:ext uri="{FF2B5EF4-FFF2-40B4-BE49-F238E27FC236}">
              <a16:creationId xmlns:a16="http://schemas.microsoft.com/office/drawing/2014/main" id="{8A03F1C8-CC3E-58F3-C0D0-595B8D3F5485}"/>
            </a:ext>
          </a:extLst>
        </xdr:cNvPr>
        <xdr:cNvPicPr>
          <a:picLocks noChangeAspect="1"/>
        </xdr:cNvPicPr>
      </xdr:nvPicPr>
      <xdr:blipFill>
        <a:blip xmlns:r="http://schemas.openxmlformats.org/officeDocument/2006/relationships" r:embed="rId3"/>
        <a:stretch>
          <a:fillRect/>
        </a:stretch>
      </xdr:blipFill>
      <xdr:spPr>
        <a:xfrm>
          <a:off x="264314" y="1018953"/>
          <a:ext cx="712536" cy="720000"/>
        </a:xfrm>
        <a:prstGeom prst="rect">
          <a:avLst/>
        </a:prstGeom>
      </xdr:spPr>
    </xdr:pic>
    <xdr:clientData/>
  </xdr:twoCellAnchor>
  <xdr:twoCellAnchor editAs="oneCell">
    <xdr:from>
      <xdr:col>0</xdr:col>
      <xdr:colOff>247647</xdr:colOff>
      <xdr:row>22</xdr:row>
      <xdr:rowOff>47627</xdr:rowOff>
    </xdr:from>
    <xdr:to>
      <xdr:col>1</xdr:col>
      <xdr:colOff>721251</xdr:colOff>
      <xdr:row>22</xdr:row>
      <xdr:rowOff>767627</xdr:rowOff>
    </xdr:to>
    <xdr:pic>
      <xdr:nvPicPr>
        <xdr:cNvPr id="88" name="図 87">
          <a:extLst>
            <a:ext uri="{FF2B5EF4-FFF2-40B4-BE49-F238E27FC236}">
              <a16:creationId xmlns:a16="http://schemas.microsoft.com/office/drawing/2014/main" id="{24EBDE58-7094-1456-08BD-49B610AFD5F2}"/>
            </a:ext>
          </a:extLst>
        </xdr:cNvPr>
        <xdr:cNvPicPr>
          <a:picLocks noChangeAspect="1"/>
        </xdr:cNvPicPr>
      </xdr:nvPicPr>
      <xdr:blipFill>
        <a:blip xmlns:r="http://schemas.openxmlformats.org/officeDocument/2006/relationships" r:embed="rId4"/>
        <a:stretch>
          <a:fillRect/>
        </a:stretch>
      </xdr:blipFill>
      <xdr:spPr>
        <a:xfrm>
          <a:off x="247647" y="9548815"/>
          <a:ext cx="723635" cy="720000"/>
        </a:xfrm>
        <a:prstGeom prst="rect">
          <a:avLst/>
        </a:prstGeom>
      </xdr:spPr>
    </xdr:pic>
    <xdr:clientData/>
  </xdr:twoCellAnchor>
  <xdr:oneCellAnchor>
    <xdr:from>
      <xdr:col>1</xdr:col>
      <xdr:colOff>809625</xdr:colOff>
      <xdr:row>22</xdr:row>
      <xdr:rowOff>19054</xdr:rowOff>
    </xdr:from>
    <xdr:ext cx="1605119" cy="992579"/>
    <xdr:sp macro="" textlink="">
      <xdr:nvSpPr>
        <xdr:cNvPr id="89" name="テキスト ボックス 88">
          <a:extLst>
            <a:ext uri="{FF2B5EF4-FFF2-40B4-BE49-F238E27FC236}">
              <a16:creationId xmlns:a16="http://schemas.microsoft.com/office/drawing/2014/main" id="{CA21D3E1-8A6E-49F8-9108-B085A0097659}"/>
            </a:ext>
          </a:extLst>
        </xdr:cNvPr>
        <xdr:cNvSpPr txBox="1"/>
      </xdr:nvSpPr>
      <xdr:spPr>
        <a:xfrm>
          <a:off x="1059656" y="9520242"/>
          <a:ext cx="1605119" cy="992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b="1">
              <a:latin typeface="BIZ UDPゴシック" panose="020B0400000000000000" pitchFamily="50" charset="-128"/>
              <a:ea typeface="BIZ UDPゴシック" panose="020B0400000000000000" pitchFamily="50" charset="-128"/>
            </a:rPr>
            <a:t>窓の</a:t>
          </a:r>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熱貫流率</a:t>
          </a:r>
          <a:r>
            <a:rPr kumimoji="1" lang="en-US" altLang="ja-JP" sz="1800" b="1">
              <a:latin typeface="BIZ UDPゴシック" panose="020B0400000000000000" pitchFamily="50" charset="-128"/>
              <a:ea typeface="BIZ UDPゴシック" panose="020B0400000000000000" pitchFamily="50" charset="-128"/>
            </a:rPr>
            <a:t>U </a:t>
          </a:r>
          <a:r>
            <a:rPr kumimoji="1" lang="ja-JP" altLang="en-US" sz="1800" b="1">
              <a:latin typeface="BIZ UDPゴシック" panose="020B0400000000000000" pitchFamily="50" charset="-128"/>
              <a:ea typeface="BIZ UDPゴシック" panose="020B0400000000000000" pitchFamily="50" charset="-128"/>
            </a:rPr>
            <a:t>と</a:t>
          </a:r>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日射遮蔽対策</a:t>
          </a:r>
        </a:p>
      </xdr:txBody>
    </xdr:sp>
    <xdr:clientData/>
  </xdr:oneCellAnchor>
  <xdr:twoCellAnchor editAs="oneCell">
    <xdr:from>
      <xdr:col>0</xdr:col>
      <xdr:colOff>238125</xdr:colOff>
      <xdr:row>36</xdr:row>
      <xdr:rowOff>40470</xdr:rowOff>
    </xdr:from>
    <xdr:to>
      <xdr:col>1</xdr:col>
      <xdr:colOff>711729</xdr:colOff>
      <xdr:row>36</xdr:row>
      <xdr:rowOff>760470</xdr:rowOff>
    </xdr:to>
    <xdr:pic>
      <xdr:nvPicPr>
        <xdr:cNvPr id="91" name="図 90">
          <a:extLst>
            <a:ext uri="{FF2B5EF4-FFF2-40B4-BE49-F238E27FC236}">
              <a16:creationId xmlns:a16="http://schemas.microsoft.com/office/drawing/2014/main" id="{4C91DF75-8CBA-459A-B548-00F2678C3B31}"/>
            </a:ext>
          </a:extLst>
        </xdr:cNvPr>
        <xdr:cNvPicPr>
          <a:picLocks noChangeAspect="1"/>
        </xdr:cNvPicPr>
      </xdr:nvPicPr>
      <xdr:blipFill>
        <a:blip xmlns:r="http://schemas.openxmlformats.org/officeDocument/2006/relationships" r:embed="rId4"/>
        <a:stretch>
          <a:fillRect/>
        </a:stretch>
      </xdr:blipFill>
      <xdr:spPr>
        <a:xfrm>
          <a:off x="238125" y="14744689"/>
          <a:ext cx="723635" cy="720000"/>
        </a:xfrm>
        <a:prstGeom prst="rect">
          <a:avLst/>
        </a:prstGeom>
      </xdr:spPr>
    </xdr:pic>
    <xdr:clientData/>
  </xdr:twoCellAnchor>
  <xdr:oneCellAnchor>
    <xdr:from>
      <xdr:col>1</xdr:col>
      <xdr:colOff>800103</xdr:colOff>
      <xdr:row>36</xdr:row>
      <xdr:rowOff>71427</xdr:rowOff>
    </xdr:from>
    <xdr:ext cx="1306512" cy="692497"/>
    <xdr:sp macro="" textlink="">
      <xdr:nvSpPr>
        <xdr:cNvPr id="92" name="テキスト ボックス 91">
          <a:extLst>
            <a:ext uri="{FF2B5EF4-FFF2-40B4-BE49-F238E27FC236}">
              <a16:creationId xmlns:a16="http://schemas.microsoft.com/office/drawing/2014/main" id="{BDBA20A6-FFD2-40F7-8859-5CC4DB438395}"/>
            </a:ext>
          </a:extLst>
        </xdr:cNvPr>
        <xdr:cNvSpPr txBox="1"/>
      </xdr:nvSpPr>
      <xdr:spPr>
        <a:xfrm>
          <a:off x="1050134" y="14775646"/>
          <a:ext cx="1306512" cy="6924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b="1">
              <a:latin typeface="BIZ UDPゴシック" panose="020B0400000000000000" pitchFamily="50" charset="-128"/>
              <a:ea typeface="BIZ UDPゴシック" panose="020B0400000000000000" pitchFamily="50" charset="-128"/>
            </a:rPr>
            <a:t>ドアの</a:t>
          </a:r>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熱貫流率</a:t>
          </a:r>
          <a:r>
            <a:rPr kumimoji="1" lang="en-US" altLang="ja-JP" sz="1800" b="1">
              <a:latin typeface="BIZ UDPゴシック" panose="020B0400000000000000" pitchFamily="50" charset="-128"/>
              <a:ea typeface="BIZ UDPゴシック" panose="020B0400000000000000" pitchFamily="50" charset="-128"/>
            </a:rPr>
            <a:t>U</a:t>
          </a:r>
        </a:p>
      </xdr:txBody>
    </xdr:sp>
    <xdr:clientData/>
  </xdr:oneCellAnchor>
  <xdr:twoCellAnchor editAs="oneCell">
    <xdr:from>
      <xdr:col>1</xdr:col>
      <xdr:colOff>23813</xdr:colOff>
      <xdr:row>44</xdr:row>
      <xdr:rowOff>154771</xdr:rowOff>
    </xdr:from>
    <xdr:to>
      <xdr:col>1</xdr:col>
      <xdr:colOff>743813</xdr:colOff>
      <xdr:row>45</xdr:row>
      <xdr:rowOff>708086</xdr:rowOff>
    </xdr:to>
    <xdr:pic>
      <xdr:nvPicPr>
        <xdr:cNvPr id="93" name="図 92">
          <a:extLst>
            <a:ext uri="{FF2B5EF4-FFF2-40B4-BE49-F238E27FC236}">
              <a16:creationId xmlns:a16="http://schemas.microsoft.com/office/drawing/2014/main" id="{E8C2359D-50DD-8199-DB8F-B490BDB6938A}"/>
            </a:ext>
          </a:extLst>
        </xdr:cNvPr>
        <xdr:cNvPicPr>
          <a:picLocks noChangeAspect="1"/>
        </xdr:cNvPicPr>
      </xdr:nvPicPr>
      <xdr:blipFill>
        <a:blip xmlns:r="http://schemas.openxmlformats.org/officeDocument/2006/relationships" r:embed="rId5"/>
        <a:stretch>
          <a:fillRect/>
        </a:stretch>
      </xdr:blipFill>
      <xdr:spPr>
        <a:xfrm>
          <a:off x="273844" y="18823771"/>
          <a:ext cx="720000" cy="720000"/>
        </a:xfrm>
        <a:prstGeom prst="rect">
          <a:avLst/>
        </a:prstGeom>
      </xdr:spPr>
    </xdr:pic>
    <xdr:clientData/>
  </xdr:twoCellAnchor>
  <xdr:oneCellAnchor>
    <xdr:from>
      <xdr:col>1</xdr:col>
      <xdr:colOff>821532</xdr:colOff>
      <xdr:row>45</xdr:row>
      <xdr:rowOff>83329</xdr:rowOff>
    </xdr:from>
    <xdr:ext cx="1800493" cy="392415"/>
    <xdr:sp macro="" textlink="">
      <xdr:nvSpPr>
        <xdr:cNvPr id="94" name="テキスト ボックス 93">
          <a:extLst>
            <a:ext uri="{FF2B5EF4-FFF2-40B4-BE49-F238E27FC236}">
              <a16:creationId xmlns:a16="http://schemas.microsoft.com/office/drawing/2014/main" id="{E3CFFFA7-3E8F-4BD3-9974-51B1A8B2174E}"/>
            </a:ext>
          </a:extLst>
        </xdr:cNvPr>
        <xdr:cNvSpPr txBox="1"/>
      </xdr:nvSpPr>
      <xdr:spPr>
        <a:xfrm>
          <a:off x="1071563" y="18919017"/>
          <a:ext cx="1800493"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b="1">
              <a:latin typeface="BIZ UDPゴシック" panose="020B0400000000000000" pitchFamily="50" charset="-128"/>
              <a:ea typeface="BIZ UDPゴシック" panose="020B0400000000000000" pitchFamily="50" charset="-128"/>
            </a:rPr>
            <a:t>設備機器の仕様</a:t>
          </a:r>
          <a:endParaRPr kumimoji="1" lang="en-US" altLang="ja-JP" sz="1800" b="1">
            <a:latin typeface="BIZ UDPゴシック" panose="020B0400000000000000" pitchFamily="50" charset="-128"/>
            <a:ea typeface="BIZ UDPゴシック" panose="020B0400000000000000"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2</xdr:col>
          <xdr:colOff>647700</xdr:colOff>
          <xdr:row>46</xdr:row>
          <xdr:rowOff>19050</xdr:rowOff>
        </xdr:from>
        <xdr:to>
          <xdr:col>3</xdr:col>
          <xdr:colOff>66675</xdr:colOff>
          <xdr:row>46</xdr:row>
          <xdr:rowOff>371475</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2EECD56B-3CEE-4315-915E-5FCFFBF89FD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46</xdr:row>
          <xdr:rowOff>371475</xdr:rowOff>
        </xdr:from>
        <xdr:to>
          <xdr:col>3</xdr:col>
          <xdr:colOff>66675</xdr:colOff>
          <xdr:row>47</xdr:row>
          <xdr:rowOff>361950</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48F93F0B-8BA2-4732-89CB-09C576C2B5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676275</xdr:colOff>
          <xdr:row>48</xdr:row>
          <xdr:rowOff>9525</xdr:rowOff>
        </xdr:from>
        <xdr:to>
          <xdr:col>6</xdr:col>
          <xdr:colOff>76200</xdr:colOff>
          <xdr:row>49</xdr:row>
          <xdr:rowOff>0</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C938FB3A-8958-4057-A55B-E2FC4F5DCBD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676275</xdr:colOff>
          <xdr:row>53</xdr:row>
          <xdr:rowOff>9525</xdr:rowOff>
        </xdr:from>
        <xdr:to>
          <xdr:col>6</xdr:col>
          <xdr:colOff>76200</xdr:colOff>
          <xdr:row>54</xdr:row>
          <xdr:rowOff>0</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DCD88D08-1018-4BC7-8DCA-9D5E782314D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714375</xdr:colOff>
          <xdr:row>50</xdr:row>
          <xdr:rowOff>9525</xdr:rowOff>
        </xdr:from>
        <xdr:to>
          <xdr:col>7</xdr:col>
          <xdr:colOff>123825</xdr:colOff>
          <xdr:row>51</xdr:row>
          <xdr:rowOff>0</xdr:rowOff>
        </xdr:to>
        <xdr:sp macro="" textlink="">
          <xdr:nvSpPr>
            <xdr:cNvPr id="20487" name="Check Box 7" hidden="1">
              <a:extLst>
                <a:ext uri="{63B3BB69-23CF-44E3-9099-C40C66FF867C}">
                  <a14:compatExt spid="_x0000_s20487"/>
                </a:ext>
                <a:ext uri="{FF2B5EF4-FFF2-40B4-BE49-F238E27FC236}">
                  <a16:creationId xmlns:a16="http://schemas.microsoft.com/office/drawing/2014/main" id="{407A04BA-3F87-4675-AC26-A72994CEC27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723900</xdr:colOff>
          <xdr:row>51</xdr:row>
          <xdr:rowOff>9525</xdr:rowOff>
        </xdr:from>
        <xdr:to>
          <xdr:col>7</xdr:col>
          <xdr:colOff>114300</xdr:colOff>
          <xdr:row>52</xdr:row>
          <xdr:rowOff>0</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C29C95EA-0374-4EB5-BEA5-4AD35B59DD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723900</xdr:colOff>
          <xdr:row>52</xdr:row>
          <xdr:rowOff>9525</xdr:rowOff>
        </xdr:from>
        <xdr:to>
          <xdr:col>7</xdr:col>
          <xdr:colOff>114300</xdr:colOff>
          <xdr:row>53</xdr:row>
          <xdr:rowOff>0</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2C06E8E2-1316-4FA1-910E-C1C3CFAD242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72</xdr:row>
          <xdr:rowOff>9525</xdr:rowOff>
        </xdr:from>
        <xdr:to>
          <xdr:col>3</xdr:col>
          <xdr:colOff>47625</xdr:colOff>
          <xdr:row>73</xdr:row>
          <xdr:rowOff>0</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BD056DC2-2BFA-48EC-83F2-64F1E680BC8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73</xdr:row>
          <xdr:rowOff>9525</xdr:rowOff>
        </xdr:from>
        <xdr:to>
          <xdr:col>3</xdr:col>
          <xdr:colOff>47625</xdr:colOff>
          <xdr:row>74</xdr:row>
          <xdr:rowOff>0</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208B9A5F-0DFA-428F-A029-CADF3EB56CB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74</xdr:row>
          <xdr:rowOff>9525</xdr:rowOff>
        </xdr:from>
        <xdr:to>
          <xdr:col>3</xdr:col>
          <xdr:colOff>47625</xdr:colOff>
          <xdr:row>75</xdr:row>
          <xdr:rowOff>0</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6DA8A39-9F72-4F68-B47F-EA3E19BC0EB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75</xdr:row>
          <xdr:rowOff>9525</xdr:rowOff>
        </xdr:from>
        <xdr:to>
          <xdr:col>3</xdr:col>
          <xdr:colOff>47625</xdr:colOff>
          <xdr:row>76</xdr:row>
          <xdr:rowOff>0</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2F54CC0A-19B2-497B-8C66-5F5086B451F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77</xdr:row>
          <xdr:rowOff>9525</xdr:rowOff>
        </xdr:from>
        <xdr:to>
          <xdr:col>3</xdr:col>
          <xdr:colOff>47625</xdr:colOff>
          <xdr:row>78</xdr:row>
          <xdr:rowOff>0</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8B26D5E2-F575-4E41-AE5D-7D4F5F37AE9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78</xdr:row>
          <xdr:rowOff>9525</xdr:rowOff>
        </xdr:from>
        <xdr:to>
          <xdr:col>3</xdr:col>
          <xdr:colOff>47625</xdr:colOff>
          <xdr:row>79</xdr:row>
          <xdr:rowOff>0</xdr:rowOff>
        </xdr:to>
        <xdr:sp macro="" textlink="">
          <xdr:nvSpPr>
            <xdr:cNvPr id="20495" name="Check Box 15" hidden="1">
              <a:extLst>
                <a:ext uri="{63B3BB69-23CF-44E3-9099-C40C66FF867C}">
                  <a14:compatExt spid="_x0000_s20495"/>
                </a:ext>
                <a:ext uri="{FF2B5EF4-FFF2-40B4-BE49-F238E27FC236}">
                  <a16:creationId xmlns:a16="http://schemas.microsoft.com/office/drawing/2014/main" id="{9EB6CC9A-1D5D-4A8C-B76C-FA266BC39A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79</xdr:row>
          <xdr:rowOff>9525</xdr:rowOff>
        </xdr:from>
        <xdr:to>
          <xdr:col>3</xdr:col>
          <xdr:colOff>47625</xdr:colOff>
          <xdr:row>80</xdr:row>
          <xdr:rowOff>0</xdr:rowOff>
        </xdr:to>
        <xdr:sp macro="" textlink="">
          <xdr:nvSpPr>
            <xdr:cNvPr id="20496" name="Check Box 16" hidden="1">
              <a:extLst>
                <a:ext uri="{63B3BB69-23CF-44E3-9099-C40C66FF867C}">
                  <a14:compatExt spid="_x0000_s20496"/>
                </a:ext>
                <a:ext uri="{FF2B5EF4-FFF2-40B4-BE49-F238E27FC236}">
                  <a16:creationId xmlns:a16="http://schemas.microsoft.com/office/drawing/2014/main" id="{C8314F10-4066-47AE-BD01-B88337D6FCA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80</xdr:row>
          <xdr:rowOff>9525</xdr:rowOff>
        </xdr:from>
        <xdr:to>
          <xdr:col>3</xdr:col>
          <xdr:colOff>47625</xdr:colOff>
          <xdr:row>81</xdr:row>
          <xdr:rowOff>0</xdr:rowOff>
        </xdr:to>
        <xdr:sp macro="" textlink="">
          <xdr:nvSpPr>
            <xdr:cNvPr id="20497" name="Check Box 17" hidden="1">
              <a:extLst>
                <a:ext uri="{63B3BB69-23CF-44E3-9099-C40C66FF867C}">
                  <a14:compatExt spid="_x0000_s20497"/>
                </a:ext>
                <a:ext uri="{FF2B5EF4-FFF2-40B4-BE49-F238E27FC236}">
                  <a16:creationId xmlns:a16="http://schemas.microsoft.com/office/drawing/2014/main" id="{4D8B5907-3D6D-44D0-A53F-3BF9884FE7B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82</xdr:row>
          <xdr:rowOff>9525</xdr:rowOff>
        </xdr:from>
        <xdr:to>
          <xdr:col>3</xdr:col>
          <xdr:colOff>47625</xdr:colOff>
          <xdr:row>83</xdr:row>
          <xdr:rowOff>0</xdr:rowOff>
        </xdr:to>
        <xdr:sp macro="" textlink="">
          <xdr:nvSpPr>
            <xdr:cNvPr id="20498" name="Check Box 18" hidden="1">
              <a:extLst>
                <a:ext uri="{63B3BB69-23CF-44E3-9099-C40C66FF867C}">
                  <a14:compatExt spid="_x0000_s20498"/>
                </a:ext>
                <a:ext uri="{FF2B5EF4-FFF2-40B4-BE49-F238E27FC236}">
                  <a16:creationId xmlns:a16="http://schemas.microsoft.com/office/drawing/2014/main" id="{956E85ED-CF31-4EB0-B2BE-C03C73E5A6A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83</xdr:row>
          <xdr:rowOff>9525</xdr:rowOff>
        </xdr:from>
        <xdr:to>
          <xdr:col>3</xdr:col>
          <xdr:colOff>47625</xdr:colOff>
          <xdr:row>84</xdr:row>
          <xdr:rowOff>0</xdr:rowOff>
        </xdr:to>
        <xdr:sp macro="" textlink="">
          <xdr:nvSpPr>
            <xdr:cNvPr id="20499" name="Check Box 19" hidden="1">
              <a:extLst>
                <a:ext uri="{63B3BB69-23CF-44E3-9099-C40C66FF867C}">
                  <a14:compatExt spid="_x0000_s20499"/>
                </a:ext>
                <a:ext uri="{FF2B5EF4-FFF2-40B4-BE49-F238E27FC236}">
                  <a16:creationId xmlns:a16="http://schemas.microsoft.com/office/drawing/2014/main" id="{1407A599-79A0-449E-ACF5-E9F7D1665F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19</a:t>
              </a:r>
            </a:p>
          </xdr:txBody>
        </xdr:sp>
        <xdr:clientData/>
      </xdr:twoCellAnchor>
    </mc:Choice>
    <mc:Fallback/>
  </mc:AlternateContent>
  <xdr:twoCellAnchor>
    <xdr:from>
      <xdr:col>12</xdr:col>
      <xdr:colOff>787507</xdr:colOff>
      <xdr:row>44</xdr:row>
      <xdr:rowOff>152078</xdr:rowOff>
    </xdr:from>
    <xdr:to>
      <xdr:col>13</xdr:col>
      <xdr:colOff>850640</xdr:colOff>
      <xdr:row>45</xdr:row>
      <xdr:rowOff>921390</xdr:rowOff>
    </xdr:to>
    <xdr:grpSp>
      <xdr:nvGrpSpPr>
        <xdr:cNvPr id="2" name="グループ化 1">
          <a:extLst>
            <a:ext uri="{FF2B5EF4-FFF2-40B4-BE49-F238E27FC236}">
              <a16:creationId xmlns:a16="http://schemas.microsoft.com/office/drawing/2014/main" id="{358A0641-C570-4B0E-99DA-377D5DD8CD8B}"/>
            </a:ext>
          </a:extLst>
        </xdr:cNvPr>
        <xdr:cNvGrpSpPr/>
      </xdr:nvGrpSpPr>
      <xdr:grpSpPr>
        <a:xfrm>
          <a:off x="12693757" y="24028078"/>
          <a:ext cx="1047383" cy="928062"/>
          <a:chOff x="9763125" y="9251158"/>
          <a:chExt cx="1012031" cy="936000"/>
        </a:xfrm>
      </xdr:grpSpPr>
      <xdr:sp macro="[0]!Sheet4.地域567全クリア_Click" textlink="">
        <xdr:nvSpPr>
          <xdr:cNvPr id="3" name="四角形: 角を丸くする 2">
            <a:extLst>
              <a:ext uri="{FF2B5EF4-FFF2-40B4-BE49-F238E27FC236}">
                <a16:creationId xmlns:a16="http://schemas.microsoft.com/office/drawing/2014/main" id="{0C441E0F-4071-BFF8-A523-A59845A4ABA7}"/>
              </a:ext>
            </a:extLst>
          </xdr:cNvPr>
          <xdr:cNvSpPr/>
        </xdr:nvSpPr>
        <xdr:spPr>
          <a:xfrm>
            <a:off x="9810750" y="9251158"/>
            <a:ext cx="936000" cy="936000"/>
          </a:xfrm>
          <a:prstGeom prst="roundRect">
            <a:avLst/>
          </a:prstGeom>
          <a:solidFill>
            <a:schemeClr val="accent6"/>
          </a:solidFill>
          <a:ln>
            <a:solidFill>
              <a:schemeClr val="bg2">
                <a:lumMod val="9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100" b="1">
              <a:latin typeface="Meiryo UI" panose="020B0604030504040204" pitchFamily="50" charset="-128"/>
              <a:ea typeface="Meiryo UI" panose="020B0604030504040204" pitchFamily="50" charset="-128"/>
            </a:endParaRPr>
          </a:p>
        </xdr:txBody>
      </xdr:sp>
      <xdr:sp macro="[0]!Sheet4.地域567全クリア_Click" textlink="">
        <xdr:nvSpPr>
          <xdr:cNvPr id="4" name="四角形: 角を丸くする 3">
            <a:extLst>
              <a:ext uri="{FF2B5EF4-FFF2-40B4-BE49-F238E27FC236}">
                <a16:creationId xmlns:a16="http://schemas.microsoft.com/office/drawing/2014/main" id="{E365F090-D887-6FDB-678B-07DFBE09A7EA}"/>
              </a:ext>
            </a:extLst>
          </xdr:cNvPr>
          <xdr:cNvSpPr/>
        </xdr:nvSpPr>
        <xdr:spPr>
          <a:xfrm>
            <a:off x="9763125" y="9274969"/>
            <a:ext cx="1012031" cy="892967"/>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bg1"/>
                </a:solidFill>
                <a:latin typeface="Meiryo UI" panose="020B0604030504040204" pitchFamily="50" charset="-128"/>
                <a:ea typeface="Meiryo UI" panose="020B0604030504040204" pitchFamily="50" charset="-128"/>
              </a:rPr>
              <a:t>すべての</a:t>
            </a:r>
            <a:endParaRPr kumimoji="1" lang="en-US" altLang="ja-JP" sz="1100" b="1">
              <a:solidFill>
                <a:schemeClr val="bg1"/>
              </a:solidFill>
              <a:latin typeface="Meiryo UI" panose="020B0604030504040204" pitchFamily="50" charset="-128"/>
              <a:ea typeface="Meiryo UI" panose="020B0604030504040204" pitchFamily="50" charset="-128"/>
            </a:endParaRPr>
          </a:p>
          <a:p>
            <a:pPr algn="ctr"/>
            <a:r>
              <a:rPr kumimoji="1" lang="ja-JP" altLang="en-US" sz="1100" b="1">
                <a:solidFill>
                  <a:schemeClr val="bg1"/>
                </a:solidFill>
                <a:latin typeface="Meiryo UI" panose="020B0604030504040204" pitchFamily="50" charset="-128"/>
                <a:ea typeface="Meiryo UI" panose="020B0604030504040204" pitchFamily="50" charset="-128"/>
              </a:rPr>
              <a:t>チェック✓を</a:t>
            </a:r>
            <a:endParaRPr kumimoji="1" lang="en-US" altLang="ja-JP" sz="1100" b="1">
              <a:solidFill>
                <a:schemeClr val="bg1"/>
              </a:solidFill>
              <a:latin typeface="Meiryo UI" panose="020B0604030504040204" pitchFamily="50" charset="-128"/>
              <a:ea typeface="Meiryo UI" panose="020B0604030504040204" pitchFamily="50" charset="-128"/>
            </a:endParaRPr>
          </a:p>
          <a:p>
            <a:pPr algn="ctr"/>
            <a:r>
              <a:rPr kumimoji="1" lang="ja-JP" altLang="en-US" sz="1100" b="1">
                <a:solidFill>
                  <a:schemeClr val="bg1"/>
                </a:solidFill>
                <a:latin typeface="Meiryo UI" panose="020B0604030504040204" pitchFamily="50" charset="-128"/>
                <a:ea typeface="Meiryo UI" panose="020B0604030504040204" pitchFamily="50" charset="-128"/>
              </a:rPr>
              <a:t>クリア</a:t>
            </a:r>
          </a:p>
        </xdr:txBody>
      </xdr:sp>
    </xdr:grpSp>
    <xdr:clientData/>
  </xdr:twoCellAnchor>
  <mc:AlternateContent xmlns:mc="http://schemas.openxmlformats.org/markup-compatibility/2006">
    <mc:Choice xmlns:a14="http://schemas.microsoft.com/office/drawing/2010/main" Requires="a14">
      <xdr:twoCellAnchor editAs="oneCell">
        <xdr:from>
          <xdr:col>2</xdr:col>
          <xdr:colOff>647700</xdr:colOff>
          <xdr:row>64</xdr:row>
          <xdr:rowOff>19050</xdr:rowOff>
        </xdr:from>
        <xdr:to>
          <xdr:col>3</xdr:col>
          <xdr:colOff>76200</xdr:colOff>
          <xdr:row>64</xdr:row>
          <xdr:rowOff>371475</xdr:rowOff>
        </xdr:to>
        <xdr:sp macro="" textlink="">
          <xdr:nvSpPr>
            <xdr:cNvPr id="20507" name="Check Box 27" hidden="1">
              <a:extLst>
                <a:ext uri="{63B3BB69-23CF-44E3-9099-C40C66FF867C}">
                  <a14:compatExt spid="_x0000_s20507"/>
                </a:ext>
                <a:ext uri="{FF2B5EF4-FFF2-40B4-BE49-F238E27FC236}">
                  <a16:creationId xmlns:a16="http://schemas.microsoft.com/office/drawing/2014/main" id="{1BE8E0B8-5DD4-403E-9F6E-E4999E469CE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64</xdr:row>
          <xdr:rowOff>371475</xdr:rowOff>
        </xdr:from>
        <xdr:to>
          <xdr:col>3</xdr:col>
          <xdr:colOff>85725</xdr:colOff>
          <xdr:row>65</xdr:row>
          <xdr:rowOff>371475</xdr:rowOff>
        </xdr:to>
        <xdr:sp macro="" textlink="">
          <xdr:nvSpPr>
            <xdr:cNvPr id="20508" name="Check Box 28" hidden="1">
              <a:extLst>
                <a:ext uri="{63B3BB69-23CF-44E3-9099-C40C66FF867C}">
                  <a14:compatExt spid="_x0000_s20508"/>
                </a:ext>
                <a:ext uri="{FF2B5EF4-FFF2-40B4-BE49-F238E27FC236}">
                  <a16:creationId xmlns:a16="http://schemas.microsoft.com/office/drawing/2014/main" id="{F29303A3-AF35-4CFB-8892-7C57F146D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70</xdr:row>
          <xdr:rowOff>0</xdr:rowOff>
        </xdr:from>
        <xdr:to>
          <xdr:col>3</xdr:col>
          <xdr:colOff>76200</xdr:colOff>
          <xdr:row>70</xdr:row>
          <xdr:rowOff>371475</xdr:rowOff>
        </xdr:to>
        <xdr:sp macro="" textlink="">
          <xdr:nvSpPr>
            <xdr:cNvPr id="20509" name="Check Box 29" hidden="1">
              <a:extLst>
                <a:ext uri="{63B3BB69-23CF-44E3-9099-C40C66FF867C}">
                  <a14:compatExt spid="_x0000_s20509"/>
                </a:ext>
                <a:ext uri="{FF2B5EF4-FFF2-40B4-BE49-F238E27FC236}">
                  <a16:creationId xmlns:a16="http://schemas.microsoft.com/office/drawing/2014/main" id="{CF919FBB-5B21-4626-98B2-AE7D0F3D0D4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29</a:t>
              </a:r>
            </a:p>
          </xdr:txBody>
        </xdr:sp>
        <xdr:clientData/>
      </xdr:twoCellAnchor>
    </mc:Choice>
    <mc:Fallback/>
  </mc:AlternateContent>
  <xdr:twoCellAnchor>
    <xdr:from>
      <xdr:col>16</xdr:col>
      <xdr:colOff>435429</xdr:colOff>
      <xdr:row>0</xdr:row>
      <xdr:rowOff>54428</xdr:rowOff>
    </xdr:from>
    <xdr:to>
      <xdr:col>18</xdr:col>
      <xdr:colOff>775609</xdr:colOff>
      <xdr:row>2</xdr:row>
      <xdr:rowOff>163284</xdr:rowOff>
    </xdr:to>
    <xdr:sp macro="[0]!印刷プレビュー表示" textlink="">
      <xdr:nvSpPr>
        <xdr:cNvPr id="5" name="正方形/長方形 4">
          <a:extLst>
            <a:ext uri="{FF2B5EF4-FFF2-40B4-BE49-F238E27FC236}">
              <a16:creationId xmlns:a16="http://schemas.microsoft.com/office/drawing/2014/main" id="{08D9B0E8-82FC-4EE5-9AC1-2F05F6B4BBB1}"/>
            </a:ext>
          </a:extLst>
        </xdr:cNvPr>
        <xdr:cNvSpPr/>
      </xdr:nvSpPr>
      <xdr:spPr>
        <a:xfrm>
          <a:off x="16138072" y="54428"/>
          <a:ext cx="2340430" cy="65314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mc:AlternateContent xmlns:mc="http://schemas.openxmlformats.org/markup-compatibility/2006">
    <mc:Choice xmlns:a14="http://schemas.microsoft.com/office/drawing/2010/main" Requires="a14">
      <xdr:twoCellAnchor editAs="oneCell">
        <xdr:from>
          <xdr:col>2</xdr:col>
          <xdr:colOff>647700</xdr:colOff>
          <xdr:row>62</xdr:row>
          <xdr:rowOff>9525</xdr:rowOff>
        </xdr:from>
        <xdr:to>
          <xdr:col>3</xdr:col>
          <xdr:colOff>76200</xdr:colOff>
          <xdr:row>63</xdr:row>
          <xdr:rowOff>0</xdr:rowOff>
        </xdr:to>
        <xdr:sp macro="" textlink="">
          <xdr:nvSpPr>
            <xdr:cNvPr id="20511" name="Check Box 31" hidden="1">
              <a:extLst>
                <a:ext uri="{63B3BB69-23CF-44E3-9099-C40C66FF867C}">
                  <a14:compatExt spid="_x0000_s20511"/>
                </a:ext>
                <a:ext uri="{FF2B5EF4-FFF2-40B4-BE49-F238E27FC236}">
                  <a16:creationId xmlns:a16="http://schemas.microsoft.com/office/drawing/2014/main" id="{5EB0B630-D507-4F9A-B409-221639F8F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676275</xdr:colOff>
          <xdr:row>55</xdr:row>
          <xdr:rowOff>9525</xdr:rowOff>
        </xdr:from>
        <xdr:to>
          <xdr:col>6</xdr:col>
          <xdr:colOff>76200</xdr:colOff>
          <xdr:row>56</xdr:row>
          <xdr:rowOff>0</xdr:rowOff>
        </xdr:to>
        <xdr:sp macro="" textlink="">
          <xdr:nvSpPr>
            <xdr:cNvPr id="20512" name="Check Box 32" hidden="1">
              <a:extLst>
                <a:ext uri="{63B3BB69-23CF-44E3-9099-C40C66FF867C}">
                  <a14:compatExt spid="_x0000_s20512"/>
                </a:ext>
                <a:ext uri="{FF2B5EF4-FFF2-40B4-BE49-F238E27FC236}">
                  <a16:creationId xmlns:a16="http://schemas.microsoft.com/office/drawing/2014/main" id="{B7F56A43-43AE-46F9-9559-B12A559B79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676275</xdr:colOff>
          <xdr:row>60</xdr:row>
          <xdr:rowOff>9525</xdr:rowOff>
        </xdr:from>
        <xdr:to>
          <xdr:col>6</xdr:col>
          <xdr:colOff>85725</xdr:colOff>
          <xdr:row>61</xdr:row>
          <xdr:rowOff>0</xdr:rowOff>
        </xdr:to>
        <xdr:sp macro="" textlink="">
          <xdr:nvSpPr>
            <xdr:cNvPr id="20513" name="Check Box 33" hidden="1">
              <a:extLst>
                <a:ext uri="{63B3BB69-23CF-44E3-9099-C40C66FF867C}">
                  <a14:compatExt spid="_x0000_s20513"/>
                </a:ext>
                <a:ext uri="{FF2B5EF4-FFF2-40B4-BE49-F238E27FC236}">
                  <a16:creationId xmlns:a16="http://schemas.microsoft.com/office/drawing/2014/main" id="{BD4B18AC-2A66-4808-9CB1-E4508DD037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714375</xdr:colOff>
          <xdr:row>57</xdr:row>
          <xdr:rowOff>9525</xdr:rowOff>
        </xdr:from>
        <xdr:to>
          <xdr:col>7</xdr:col>
          <xdr:colOff>123825</xdr:colOff>
          <xdr:row>58</xdr:row>
          <xdr:rowOff>0</xdr:rowOff>
        </xdr:to>
        <xdr:sp macro="" textlink="">
          <xdr:nvSpPr>
            <xdr:cNvPr id="20514" name="Check Box 34" hidden="1">
              <a:extLst>
                <a:ext uri="{63B3BB69-23CF-44E3-9099-C40C66FF867C}">
                  <a14:compatExt spid="_x0000_s20514"/>
                </a:ext>
                <a:ext uri="{FF2B5EF4-FFF2-40B4-BE49-F238E27FC236}">
                  <a16:creationId xmlns:a16="http://schemas.microsoft.com/office/drawing/2014/main" id="{2E4D70A8-F3AF-4B93-BF1A-D0DA2A6A9A7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723900</xdr:colOff>
          <xdr:row>58</xdr:row>
          <xdr:rowOff>9525</xdr:rowOff>
        </xdr:from>
        <xdr:to>
          <xdr:col>7</xdr:col>
          <xdr:colOff>123825</xdr:colOff>
          <xdr:row>59</xdr:row>
          <xdr:rowOff>0</xdr:rowOff>
        </xdr:to>
        <xdr:sp macro="" textlink="">
          <xdr:nvSpPr>
            <xdr:cNvPr id="20515" name="Check Box 35" hidden="1">
              <a:extLst>
                <a:ext uri="{63B3BB69-23CF-44E3-9099-C40C66FF867C}">
                  <a14:compatExt spid="_x0000_s20515"/>
                </a:ext>
                <a:ext uri="{FF2B5EF4-FFF2-40B4-BE49-F238E27FC236}">
                  <a16:creationId xmlns:a16="http://schemas.microsoft.com/office/drawing/2014/main" id="{9F81DF71-D16B-4764-AC08-D51DC3480BA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723900</xdr:colOff>
          <xdr:row>59</xdr:row>
          <xdr:rowOff>9525</xdr:rowOff>
        </xdr:from>
        <xdr:to>
          <xdr:col>7</xdr:col>
          <xdr:colOff>123825</xdr:colOff>
          <xdr:row>60</xdr:row>
          <xdr:rowOff>0</xdr:rowOff>
        </xdr:to>
        <xdr:sp macro="" textlink="">
          <xdr:nvSpPr>
            <xdr:cNvPr id="20516" name="Check Box 36" hidden="1">
              <a:extLst>
                <a:ext uri="{63B3BB69-23CF-44E3-9099-C40C66FF867C}">
                  <a14:compatExt spid="_x0000_s20516"/>
                </a:ext>
                <a:ext uri="{FF2B5EF4-FFF2-40B4-BE49-F238E27FC236}">
                  <a16:creationId xmlns:a16="http://schemas.microsoft.com/office/drawing/2014/main" id="{C18287E0-636A-4735-8834-260F2466F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676275</xdr:colOff>
          <xdr:row>54</xdr:row>
          <xdr:rowOff>9525</xdr:rowOff>
        </xdr:from>
        <xdr:to>
          <xdr:col>6</xdr:col>
          <xdr:colOff>76200</xdr:colOff>
          <xdr:row>55</xdr:row>
          <xdr:rowOff>0</xdr:rowOff>
        </xdr:to>
        <xdr:sp macro="" textlink="">
          <xdr:nvSpPr>
            <xdr:cNvPr id="20517" name="Check Box 37" hidden="1">
              <a:extLst>
                <a:ext uri="{63B3BB69-23CF-44E3-9099-C40C66FF867C}">
                  <a14:compatExt spid="_x0000_s20517"/>
                </a:ext>
                <a:ext uri="{FF2B5EF4-FFF2-40B4-BE49-F238E27FC236}">
                  <a16:creationId xmlns:a16="http://schemas.microsoft.com/office/drawing/2014/main" id="{AD3FE0F9-530C-43C4-960F-9009E278FBA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676275</xdr:colOff>
          <xdr:row>61</xdr:row>
          <xdr:rowOff>9525</xdr:rowOff>
        </xdr:from>
        <xdr:to>
          <xdr:col>6</xdr:col>
          <xdr:colOff>76200</xdr:colOff>
          <xdr:row>62</xdr:row>
          <xdr:rowOff>0</xdr:rowOff>
        </xdr:to>
        <xdr:sp macro="" textlink="">
          <xdr:nvSpPr>
            <xdr:cNvPr id="20518" name="Check Box 38" hidden="1">
              <a:extLst>
                <a:ext uri="{63B3BB69-23CF-44E3-9099-C40C66FF867C}">
                  <a14:compatExt spid="_x0000_s20518"/>
                </a:ext>
                <a:ext uri="{FF2B5EF4-FFF2-40B4-BE49-F238E27FC236}">
                  <a16:creationId xmlns:a16="http://schemas.microsoft.com/office/drawing/2014/main" id="{D1C4CD91-05C6-4D9F-AEDD-E9E609B0FCB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647700</xdr:colOff>
          <xdr:row>66</xdr:row>
          <xdr:rowOff>0</xdr:rowOff>
        </xdr:from>
        <xdr:to>
          <xdr:col>6</xdr:col>
          <xdr:colOff>76200</xdr:colOff>
          <xdr:row>67</xdr:row>
          <xdr:rowOff>0</xdr:rowOff>
        </xdr:to>
        <xdr:sp macro="" textlink="">
          <xdr:nvSpPr>
            <xdr:cNvPr id="20519" name="Check Box 39" hidden="1">
              <a:extLst>
                <a:ext uri="{63B3BB69-23CF-44E3-9099-C40C66FF867C}">
                  <a14:compatExt spid="_x0000_s20519"/>
                </a:ext>
                <a:ext uri="{FF2B5EF4-FFF2-40B4-BE49-F238E27FC236}">
                  <a16:creationId xmlns:a16="http://schemas.microsoft.com/office/drawing/2014/main" id="{24C5CFAB-5F08-410C-96A2-795835A92CC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647700</xdr:colOff>
          <xdr:row>67</xdr:row>
          <xdr:rowOff>0</xdr:rowOff>
        </xdr:from>
        <xdr:to>
          <xdr:col>6</xdr:col>
          <xdr:colOff>76200</xdr:colOff>
          <xdr:row>68</xdr:row>
          <xdr:rowOff>0</xdr:rowOff>
        </xdr:to>
        <xdr:sp macro="" textlink="">
          <xdr:nvSpPr>
            <xdr:cNvPr id="20520" name="Check Box 40" hidden="1">
              <a:extLst>
                <a:ext uri="{63B3BB69-23CF-44E3-9099-C40C66FF867C}">
                  <a14:compatExt spid="_x0000_s20520"/>
                </a:ext>
                <a:ext uri="{FF2B5EF4-FFF2-40B4-BE49-F238E27FC236}">
                  <a16:creationId xmlns:a16="http://schemas.microsoft.com/office/drawing/2014/main" id="{B7FB15A3-4FC0-41A8-987D-6D7AD46DC8F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647700</xdr:colOff>
          <xdr:row>68</xdr:row>
          <xdr:rowOff>0</xdr:rowOff>
        </xdr:from>
        <xdr:to>
          <xdr:col>6</xdr:col>
          <xdr:colOff>76200</xdr:colOff>
          <xdr:row>69</xdr:row>
          <xdr:rowOff>0</xdr:rowOff>
        </xdr:to>
        <xdr:sp macro="" textlink="">
          <xdr:nvSpPr>
            <xdr:cNvPr id="20521" name="Check Box 41" hidden="1">
              <a:extLst>
                <a:ext uri="{63B3BB69-23CF-44E3-9099-C40C66FF867C}">
                  <a14:compatExt spid="_x0000_s20521"/>
                </a:ext>
                <a:ext uri="{FF2B5EF4-FFF2-40B4-BE49-F238E27FC236}">
                  <a16:creationId xmlns:a16="http://schemas.microsoft.com/office/drawing/2014/main" id="{5A0ADED6-A755-4D32-992E-80704114D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647700</xdr:colOff>
          <xdr:row>69</xdr:row>
          <xdr:rowOff>0</xdr:rowOff>
        </xdr:from>
        <xdr:to>
          <xdr:col>6</xdr:col>
          <xdr:colOff>76200</xdr:colOff>
          <xdr:row>70</xdr:row>
          <xdr:rowOff>0</xdr:rowOff>
        </xdr:to>
        <xdr:sp macro="" textlink="">
          <xdr:nvSpPr>
            <xdr:cNvPr id="20522" name="Check Box 42" hidden="1">
              <a:extLst>
                <a:ext uri="{63B3BB69-23CF-44E3-9099-C40C66FF867C}">
                  <a14:compatExt spid="_x0000_s20522"/>
                </a:ext>
                <a:ext uri="{FF2B5EF4-FFF2-40B4-BE49-F238E27FC236}">
                  <a16:creationId xmlns:a16="http://schemas.microsoft.com/office/drawing/2014/main" id="{5D46DE22-8A0D-4A69-BC88-30211F3B26F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42</a:t>
              </a:r>
            </a:p>
          </xdr:txBody>
        </xdr:sp>
        <xdr:clientData/>
      </xdr:twoCellAnchor>
    </mc:Choice>
    <mc:Fallback/>
  </mc:AlternateContent>
  <xdr:twoCellAnchor>
    <xdr:from>
      <xdr:col>3</xdr:col>
      <xdr:colOff>230208</xdr:colOff>
      <xdr:row>4</xdr:row>
      <xdr:rowOff>243923</xdr:rowOff>
    </xdr:from>
    <xdr:to>
      <xdr:col>3</xdr:col>
      <xdr:colOff>230208</xdr:colOff>
      <xdr:row>6</xdr:row>
      <xdr:rowOff>3440798</xdr:rowOff>
    </xdr:to>
    <xdr:cxnSp macro="">
      <xdr:nvCxnSpPr>
        <xdr:cNvPr id="6" name="直線コネクタ 5">
          <a:extLst>
            <a:ext uri="{FF2B5EF4-FFF2-40B4-BE49-F238E27FC236}">
              <a16:creationId xmlns:a16="http://schemas.microsoft.com/office/drawing/2014/main" id="{D1033AFA-4DB5-4A87-AF61-95BB9267666E}"/>
            </a:ext>
          </a:extLst>
        </xdr:cNvPr>
        <xdr:cNvCxnSpPr/>
      </xdr:nvCxnSpPr>
      <xdr:spPr>
        <a:xfrm flipH="1">
          <a:off x="3202008" y="1053548"/>
          <a:ext cx="0" cy="3806475"/>
        </a:xfrm>
        <a:prstGeom prst="line">
          <a:avLst/>
        </a:prstGeom>
        <a:ln w="15875">
          <a:solidFill>
            <a:schemeClr val="tx1">
              <a:lumMod val="50000"/>
              <a:lumOff val="50000"/>
            </a:schemeClr>
          </a:solidFill>
        </a:ln>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871864</xdr:colOff>
      <xdr:row>30</xdr:row>
      <xdr:rowOff>11908</xdr:rowOff>
    </xdr:from>
    <xdr:to>
      <xdr:col>3</xdr:col>
      <xdr:colOff>762000</xdr:colOff>
      <xdr:row>30</xdr:row>
      <xdr:rowOff>827360</xdr:rowOff>
    </xdr:to>
    <xdr:grpSp>
      <xdr:nvGrpSpPr>
        <xdr:cNvPr id="2" name="グループ化 1">
          <a:extLst>
            <a:ext uri="{FF2B5EF4-FFF2-40B4-BE49-F238E27FC236}">
              <a16:creationId xmlns:a16="http://schemas.microsoft.com/office/drawing/2014/main" id="{9740DA77-D85E-4039-BE1A-3C44A71C31E8}"/>
            </a:ext>
          </a:extLst>
        </xdr:cNvPr>
        <xdr:cNvGrpSpPr/>
      </xdr:nvGrpSpPr>
      <xdr:grpSpPr>
        <a:xfrm>
          <a:off x="1125864" y="16331408"/>
          <a:ext cx="2604761" cy="815452"/>
          <a:chOff x="4914035" y="21705095"/>
          <a:chExt cx="2973855" cy="815452"/>
        </a:xfrm>
      </xdr:grpSpPr>
      <xdr:grpSp>
        <xdr:nvGrpSpPr>
          <xdr:cNvPr id="3" name="グループ化 2">
            <a:extLst>
              <a:ext uri="{FF2B5EF4-FFF2-40B4-BE49-F238E27FC236}">
                <a16:creationId xmlns:a16="http://schemas.microsoft.com/office/drawing/2014/main" id="{83A69D0E-6975-33D0-63AE-D11D9F7CE447}"/>
              </a:ext>
            </a:extLst>
          </xdr:cNvPr>
          <xdr:cNvGrpSpPr/>
        </xdr:nvGrpSpPr>
        <xdr:grpSpPr>
          <a:xfrm>
            <a:off x="4914035" y="21727030"/>
            <a:ext cx="2924350" cy="793517"/>
            <a:chOff x="1202532" y="10404067"/>
            <a:chExt cx="2928109" cy="775427"/>
          </a:xfrm>
        </xdr:grpSpPr>
        <xdr:pic>
          <xdr:nvPicPr>
            <xdr:cNvPr id="5" name="図 4">
              <a:extLst>
                <a:ext uri="{FF2B5EF4-FFF2-40B4-BE49-F238E27FC236}">
                  <a16:creationId xmlns:a16="http://schemas.microsoft.com/office/drawing/2014/main" id="{C2C9E5F9-9AD5-2D8D-41C6-96E6AF124B10}"/>
                </a:ext>
              </a:extLst>
            </xdr:cNvPr>
            <xdr:cNvPicPr>
              <a:picLocks noChangeAspect="1"/>
            </xdr:cNvPicPr>
          </xdr:nvPicPr>
          <xdr:blipFill rotWithShape="1">
            <a:blip xmlns:r="http://schemas.openxmlformats.org/officeDocument/2006/relationships" r:embed="rId1"/>
            <a:srcRect l="31628" t="1260" r="66108" b="71030"/>
            <a:stretch/>
          </xdr:blipFill>
          <xdr:spPr>
            <a:xfrm>
              <a:off x="3869677" y="10404067"/>
              <a:ext cx="260964" cy="217960"/>
            </a:xfrm>
            <a:prstGeom prst="rect">
              <a:avLst/>
            </a:prstGeom>
          </xdr:spPr>
        </xdr:pic>
        <xdr:sp macro="" textlink="">
          <xdr:nvSpPr>
            <xdr:cNvPr id="6" name="正方形/長方形 5">
              <a:extLst>
                <a:ext uri="{FF2B5EF4-FFF2-40B4-BE49-F238E27FC236}">
                  <a16:creationId xmlns:a16="http://schemas.microsoft.com/office/drawing/2014/main" id="{2BA83E77-D239-3A56-1616-9EC455077907}"/>
                </a:ext>
              </a:extLst>
            </xdr:cNvPr>
            <xdr:cNvSpPr/>
          </xdr:nvSpPr>
          <xdr:spPr>
            <a:xfrm>
              <a:off x="1202532" y="10953751"/>
              <a:ext cx="1052033" cy="225743"/>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4" name="正方形/長方形 3">
            <a:extLst>
              <a:ext uri="{FF2B5EF4-FFF2-40B4-BE49-F238E27FC236}">
                <a16:creationId xmlns:a16="http://schemas.microsoft.com/office/drawing/2014/main" id="{0E19694D-468D-A16E-2E2A-A98035FC9065}"/>
              </a:ext>
            </a:extLst>
          </xdr:cNvPr>
          <xdr:cNvSpPr/>
        </xdr:nvSpPr>
        <xdr:spPr>
          <a:xfrm>
            <a:off x="7786687" y="21705095"/>
            <a:ext cx="101203" cy="65484"/>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3</xdr:col>
      <xdr:colOff>436891</xdr:colOff>
      <xdr:row>29</xdr:row>
      <xdr:rowOff>111020</xdr:rowOff>
    </xdr:from>
    <xdr:to>
      <xdr:col>14</xdr:col>
      <xdr:colOff>392906</xdr:colOff>
      <xdr:row>30</xdr:row>
      <xdr:rowOff>1323495</xdr:rowOff>
    </xdr:to>
    <xdr:sp macro="" textlink="">
      <xdr:nvSpPr>
        <xdr:cNvPr id="7" name="テキスト ボックス 6">
          <a:extLst>
            <a:ext uri="{FF2B5EF4-FFF2-40B4-BE49-F238E27FC236}">
              <a16:creationId xmlns:a16="http://schemas.microsoft.com/office/drawing/2014/main" id="{1B3EB256-BF37-4B61-AA15-DE04F301FA54}"/>
            </a:ext>
          </a:extLst>
        </xdr:cNvPr>
        <xdr:cNvSpPr txBox="1"/>
      </xdr:nvSpPr>
      <xdr:spPr>
        <a:xfrm>
          <a:off x="3413454" y="16220176"/>
          <a:ext cx="10790702" cy="137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nSpc>
              <a:spcPts val="2000"/>
            </a:lnSpc>
          </a:pPr>
          <a:r>
            <a:rPr kumimoji="1" lang="ja-JP" altLang="en-US" sz="1600" b="0">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400" b="0">
              <a:solidFill>
                <a:sysClr val="windowText" lastClr="000000"/>
              </a:solidFill>
              <a:latin typeface="BIZ UDPゴシック" panose="020B0400000000000000" pitchFamily="50" charset="-128"/>
              <a:ea typeface="BIZ UDPゴシック" panose="020B0400000000000000" pitchFamily="50" charset="-128"/>
            </a:rPr>
            <a:t>下記に記載のない設備機器（床暖房など）を設置する場合、このツールは使用できません。</a:t>
          </a:r>
          <a:endParaRPr kumimoji="1" lang="en-US" altLang="ja-JP" sz="1600" b="0">
            <a:solidFill>
              <a:sysClr val="windowText" lastClr="000000"/>
            </a:solidFill>
            <a:latin typeface="BIZ UDPゴシック" panose="020B0400000000000000" pitchFamily="50" charset="-128"/>
            <a:ea typeface="BIZ UDPゴシック" panose="020B0400000000000000" pitchFamily="50" charset="-128"/>
          </a:endParaRPr>
        </a:p>
        <a:p>
          <a:pPr>
            <a:lnSpc>
              <a:spcPts val="20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□を選択してチェック✓を入れてください。</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20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備考には、設置した機器名や設置場所（照明のみ）を記載してください。</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冷房設備、給湯設備、照明設備を設置しない場合は、「設置しない（入居者設置など完了検査時点で設置が行われない）」にチェックしてください。</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□に当てはまる項目がない場合、備考に記載してください。</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xdr:col>
      <xdr:colOff>233362</xdr:colOff>
      <xdr:row>30</xdr:row>
      <xdr:rowOff>19050</xdr:rowOff>
    </xdr:from>
    <xdr:to>
      <xdr:col>3</xdr:col>
      <xdr:colOff>233362</xdr:colOff>
      <xdr:row>30</xdr:row>
      <xdr:rowOff>1243050</xdr:rowOff>
    </xdr:to>
    <xdr:cxnSp macro="">
      <xdr:nvCxnSpPr>
        <xdr:cNvPr id="8" name="直線コネクタ 7">
          <a:extLst>
            <a:ext uri="{FF2B5EF4-FFF2-40B4-BE49-F238E27FC236}">
              <a16:creationId xmlns:a16="http://schemas.microsoft.com/office/drawing/2014/main" id="{C141477F-9ABB-4640-A08C-75C5BA010D4B}"/>
            </a:ext>
          </a:extLst>
        </xdr:cNvPr>
        <xdr:cNvCxnSpPr/>
      </xdr:nvCxnSpPr>
      <xdr:spPr>
        <a:xfrm flipH="1">
          <a:off x="3205162" y="16573500"/>
          <a:ext cx="0" cy="1224000"/>
        </a:xfrm>
        <a:prstGeom prst="line">
          <a:avLst/>
        </a:prstGeom>
        <a:ln w="15875">
          <a:solidFill>
            <a:schemeClr val="tx1">
              <a:lumMod val="50000"/>
              <a:lumOff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943164</xdr:colOff>
      <xdr:row>6</xdr:row>
      <xdr:rowOff>1520447</xdr:rowOff>
    </xdr:from>
    <xdr:to>
      <xdr:col>3</xdr:col>
      <xdr:colOff>943164</xdr:colOff>
      <xdr:row>6</xdr:row>
      <xdr:rowOff>1520447</xdr:rowOff>
    </xdr:to>
    <xdr:pic>
      <xdr:nvPicPr>
        <xdr:cNvPr id="9" name="図 8">
          <a:extLst>
            <a:ext uri="{FF2B5EF4-FFF2-40B4-BE49-F238E27FC236}">
              <a16:creationId xmlns:a16="http://schemas.microsoft.com/office/drawing/2014/main" id="{E7DB042E-E145-426B-B8AE-4EC1FB0DF244}"/>
            </a:ext>
          </a:extLst>
        </xdr:cNvPr>
        <xdr:cNvPicPr>
          <a:picLocks noChangeAspect="1"/>
        </xdr:cNvPicPr>
      </xdr:nvPicPr>
      <xdr:blipFill>
        <a:blip xmlns:r="http://schemas.openxmlformats.org/officeDocument/2006/relationships" r:embed="rId2"/>
        <a:stretch>
          <a:fillRect/>
        </a:stretch>
      </xdr:blipFill>
      <xdr:spPr>
        <a:xfrm>
          <a:off x="3914964" y="2939672"/>
          <a:ext cx="0" cy="0"/>
        </a:xfrm>
        <a:prstGeom prst="rect">
          <a:avLst/>
        </a:prstGeom>
      </xdr:spPr>
    </xdr:pic>
    <xdr:clientData/>
  </xdr:twoCellAnchor>
  <xdr:twoCellAnchor>
    <xdr:from>
      <xdr:col>3</xdr:col>
      <xdr:colOff>943164</xdr:colOff>
      <xdr:row>6</xdr:row>
      <xdr:rowOff>1520447</xdr:rowOff>
    </xdr:from>
    <xdr:to>
      <xdr:col>3</xdr:col>
      <xdr:colOff>943164</xdr:colOff>
      <xdr:row>7</xdr:row>
      <xdr:rowOff>216694</xdr:rowOff>
    </xdr:to>
    <xdr:pic>
      <xdr:nvPicPr>
        <xdr:cNvPr id="10" name="図 9">
          <a:extLst>
            <a:ext uri="{FF2B5EF4-FFF2-40B4-BE49-F238E27FC236}">
              <a16:creationId xmlns:a16="http://schemas.microsoft.com/office/drawing/2014/main" id="{1554EC4E-BB22-4200-A6B7-7014658E9CB4}"/>
            </a:ext>
          </a:extLst>
        </xdr:cNvPr>
        <xdr:cNvPicPr>
          <a:picLocks noChangeAspect="1"/>
        </xdr:cNvPicPr>
      </xdr:nvPicPr>
      <xdr:blipFill>
        <a:blip xmlns:r="http://schemas.openxmlformats.org/officeDocument/2006/relationships" r:embed="rId2"/>
        <a:stretch>
          <a:fillRect/>
        </a:stretch>
      </xdr:blipFill>
      <xdr:spPr>
        <a:xfrm>
          <a:off x="3914964" y="2939672"/>
          <a:ext cx="0" cy="2029997"/>
        </a:xfrm>
        <a:prstGeom prst="rect">
          <a:avLst/>
        </a:prstGeom>
      </xdr:spPr>
    </xdr:pic>
    <xdr:clientData/>
  </xdr:twoCellAnchor>
  <xdr:twoCellAnchor>
    <xdr:from>
      <xdr:col>3</xdr:col>
      <xdr:colOff>943164</xdr:colOff>
      <xdr:row>6</xdr:row>
      <xdr:rowOff>1520447</xdr:rowOff>
    </xdr:from>
    <xdr:to>
      <xdr:col>3</xdr:col>
      <xdr:colOff>943164</xdr:colOff>
      <xdr:row>6</xdr:row>
      <xdr:rowOff>1520447</xdr:rowOff>
    </xdr:to>
    <xdr:pic>
      <xdr:nvPicPr>
        <xdr:cNvPr id="11" name="図 10">
          <a:extLst>
            <a:ext uri="{FF2B5EF4-FFF2-40B4-BE49-F238E27FC236}">
              <a16:creationId xmlns:a16="http://schemas.microsoft.com/office/drawing/2014/main" id="{B765D276-F55C-4EFE-8D01-946AF30EC058}"/>
            </a:ext>
          </a:extLst>
        </xdr:cNvPr>
        <xdr:cNvPicPr>
          <a:picLocks noChangeAspect="1"/>
        </xdr:cNvPicPr>
      </xdr:nvPicPr>
      <xdr:blipFill>
        <a:blip xmlns:r="http://schemas.openxmlformats.org/officeDocument/2006/relationships" r:embed="rId2"/>
        <a:stretch>
          <a:fillRect/>
        </a:stretch>
      </xdr:blipFill>
      <xdr:spPr>
        <a:xfrm>
          <a:off x="3914964" y="2939672"/>
          <a:ext cx="0" cy="0"/>
        </a:xfrm>
        <a:prstGeom prst="rect">
          <a:avLst/>
        </a:prstGeom>
      </xdr:spPr>
    </xdr:pic>
    <xdr:clientData/>
  </xdr:twoCellAnchor>
  <xdr:twoCellAnchor>
    <xdr:from>
      <xdr:col>3</xdr:col>
      <xdr:colOff>943164</xdr:colOff>
      <xdr:row>6</xdr:row>
      <xdr:rowOff>1520447</xdr:rowOff>
    </xdr:from>
    <xdr:to>
      <xdr:col>3</xdr:col>
      <xdr:colOff>943164</xdr:colOff>
      <xdr:row>6</xdr:row>
      <xdr:rowOff>1520447</xdr:rowOff>
    </xdr:to>
    <xdr:pic>
      <xdr:nvPicPr>
        <xdr:cNvPr id="12" name="図 11">
          <a:extLst>
            <a:ext uri="{FF2B5EF4-FFF2-40B4-BE49-F238E27FC236}">
              <a16:creationId xmlns:a16="http://schemas.microsoft.com/office/drawing/2014/main" id="{A7CD2E1C-DE55-45E3-B37F-B0790520CD5A}"/>
            </a:ext>
          </a:extLst>
        </xdr:cNvPr>
        <xdr:cNvPicPr>
          <a:picLocks noChangeAspect="1"/>
        </xdr:cNvPicPr>
      </xdr:nvPicPr>
      <xdr:blipFill>
        <a:blip xmlns:r="http://schemas.openxmlformats.org/officeDocument/2006/relationships" r:embed="rId2"/>
        <a:stretch>
          <a:fillRect/>
        </a:stretch>
      </xdr:blipFill>
      <xdr:spPr>
        <a:xfrm>
          <a:off x="3914964" y="2939672"/>
          <a:ext cx="0" cy="0"/>
        </a:xfrm>
        <a:prstGeom prst="rect">
          <a:avLst/>
        </a:prstGeom>
      </xdr:spPr>
    </xdr:pic>
    <xdr:clientData/>
  </xdr:twoCellAnchor>
  <xdr:twoCellAnchor>
    <xdr:from>
      <xdr:col>3</xdr:col>
      <xdr:colOff>943164</xdr:colOff>
      <xdr:row>6</xdr:row>
      <xdr:rowOff>1520447</xdr:rowOff>
    </xdr:from>
    <xdr:to>
      <xdr:col>3</xdr:col>
      <xdr:colOff>943164</xdr:colOff>
      <xdr:row>6</xdr:row>
      <xdr:rowOff>1520447</xdr:rowOff>
    </xdr:to>
    <xdr:pic>
      <xdr:nvPicPr>
        <xdr:cNvPr id="13" name="図 12">
          <a:extLst>
            <a:ext uri="{FF2B5EF4-FFF2-40B4-BE49-F238E27FC236}">
              <a16:creationId xmlns:a16="http://schemas.microsoft.com/office/drawing/2014/main" id="{A4B29689-54D6-4029-A25E-7C5A98A198FF}"/>
            </a:ext>
          </a:extLst>
        </xdr:cNvPr>
        <xdr:cNvPicPr>
          <a:picLocks noChangeAspect="1"/>
        </xdr:cNvPicPr>
      </xdr:nvPicPr>
      <xdr:blipFill>
        <a:blip xmlns:r="http://schemas.openxmlformats.org/officeDocument/2006/relationships" r:embed="rId2"/>
        <a:stretch>
          <a:fillRect/>
        </a:stretch>
      </xdr:blipFill>
      <xdr:spPr>
        <a:xfrm>
          <a:off x="3914964" y="2939672"/>
          <a:ext cx="0" cy="0"/>
        </a:xfrm>
        <a:prstGeom prst="rect">
          <a:avLst/>
        </a:prstGeom>
      </xdr:spPr>
    </xdr:pic>
    <xdr:clientData/>
  </xdr:twoCellAnchor>
  <xdr:twoCellAnchor>
    <xdr:from>
      <xdr:col>3</xdr:col>
      <xdr:colOff>943164</xdr:colOff>
      <xdr:row>6</xdr:row>
      <xdr:rowOff>1520447</xdr:rowOff>
    </xdr:from>
    <xdr:to>
      <xdr:col>3</xdr:col>
      <xdr:colOff>943164</xdr:colOff>
      <xdr:row>6</xdr:row>
      <xdr:rowOff>1520447</xdr:rowOff>
    </xdr:to>
    <xdr:pic>
      <xdr:nvPicPr>
        <xdr:cNvPr id="14" name="図 13">
          <a:extLst>
            <a:ext uri="{FF2B5EF4-FFF2-40B4-BE49-F238E27FC236}">
              <a16:creationId xmlns:a16="http://schemas.microsoft.com/office/drawing/2014/main" id="{D80442E3-7A45-4BE8-9875-5D448843216E}"/>
            </a:ext>
          </a:extLst>
        </xdr:cNvPr>
        <xdr:cNvPicPr>
          <a:picLocks noChangeAspect="1"/>
        </xdr:cNvPicPr>
      </xdr:nvPicPr>
      <xdr:blipFill>
        <a:blip xmlns:r="http://schemas.openxmlformats.org/officeDocument/2006/relationships" r:embed="rId2"/>
        <a:stretch>
          <a:fillRect/>
        </a:stretch>
      </xdr:blipFill>
      <xdr:spPr>
        <a:xfrm>
          <a:off x="3914964" y="2939672"/>
          <a:ext cx="0" cy="0"/>
        </a:xfrm>
        <a:prstGeom prst="rect">
          <a:avLst/>
        </a:prstGeom>
      </xdr:spPr>
    </xdr:pic>
    <xdr:clientData/>
  </xdr:twoCellAnchor>
  <xdr:twoCellAnchor>
    <xdr:from>
      <xdr:col>3</xdr:col>
      <xdr:colOff>943164</xdr:colOff>
      <xdr:row>6</xdr:row>
      <xdr:rowOff>1520447</xdr:rowOff>
    </xdr:from>
    <xdr:to>
      <xdr:col>3</xdr:col>
      <xdr:colOff>943164</xdr:colOff>
      <xdr:row>6</xdr:row>
      <xdr:rowOff>1520447</xdr:rowOff>
    </xdr:to>
    <xdr:pic>
      <xdr:nvPicPr>
        <xdr:cNvPr id="15" name="図 14">
          <a:extLst>
            <a:ext uri="{FF2B5EF4-FFF2-40B4-BE49-F238E27FC236}">
              <a16:creationId xmlns:a16="http://schemas.microsoft.com/office/drawing/2014/main" id="{14855F36-8FDE-4000-B69F-A3305C2F1CA7}"/>
            </a:ext>
          </a:extLst>
        </xdr:cNvPr>
        <xdr:cNvPicPr>
          <a:picLocks noChangeAspect="1"/>
        </xdr:cNvPicPr>
      </xdr:nvPicPr>
      <xdr:blipFill>
        <a:blip xmlns:r="http://schemas.openxmlformats.org/officeDocument/2006/relationships" r:embed="rId2"/>
        <a:stretch>
          <a:fillRect/>
        </a:stretch>
      </xdr:blipFill>
      <xdr:spPr>
        <a:xfrm>
          <a:off x="3914964" y="2939672"/>
          <a:ext cx="0" cy="0"/>
        </a:xfrm>
        <a:prstGeom prst="rect">
          <a:avLst/>
        </a:prstGeom>
      </xdr:spPr>
    </xdr:pic>
    <xdr:clientData/>
  </xdr:twoCellAnchor>
  <xdr:twoCellAnchor>
    <xdr:from>
      <xdr:col>3</xdr:col>
      <xdr:colOff>410558</xdr:colOff>
      <xdr:row>4</xdr:row>
      <xdr:rowOff>168085</xdr:rowOff>
    </xdr:from>
    <xdr:to>
      <xdr:col>16</xdr:col>
      <xdr:colOff>297657</xdr:colOff>
      <xdr:row>7</xdr:row>
      <xdr:rowOff>38101</xdr:rowOff>
    </xdr:to>
    <xdr:sp macro="" textlink="">
      <xdr:nvSpPr>
        <xdr:cNvPr id="16" name="テキスト ボックス 15">
          <a:extLst>
            <a:ext uri="{FF2B5EF4-FFF2-40B4-BE49-F238E27FC236}">
              <a16:creationId xmlns:a16="http://schemas.microsoft.com/office/drawing/2014/main" id="{0D0D1214-87FB-4940-B016-78C4EDB43131}"/>
            </a:ext>
          </a:extLst>
        </xdr:cNvPr>
        <xdr:cNvSpPr txBox="1"/>
      </xdr:nvSpPr>
      <xdr:spPr>
        <a:xfrm>
          <a:off x="3382358" y="977710"/>
          <a:ext cx="12660124" cy="38133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一つの断熱部位に複数の仕様がある場合は、断熱性能が低い仕様（熱抵抗 </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R </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が小さい方）について記入してください。</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「充填＋外張」断熱等のように一つの層構成において複数の断熱材を用いる場合は、</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 「②熱抵抗</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R</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入力方法」では「直接入力」を選択し、「⑧直接入力熱抵抗」に充填する断熱材と外張の断熱材の熱抵抗の合計値を入力します。</a:t>
          </a: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 「③断熱工法」では「軸組充填」または「枠組充填」を選択します。　</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baseline="0">
              <a:solidFill>
                <a:sysClr val="windowText" lastClr="000000"/>
              </a:solidFill>
              <a:latin typeface="BIZ UDPゴシック" panose="020B0400000000000000" pitchFamily="50" charset="-128"/>
              <a:ea typeface="BIZ UDPゴシック" panose="020B0400000000000000" pitchFamily="50" charset="-128"/>
            </a:rPr>
            <a:t>◎　下記①～⑨は、表の項目列①～⑨の入力について説明します。</a:t>
          </a:r>
          <a:endParaRPr kumimoji="1" lang="en-US" altLang="ja-JP" sz="1200" b="0" baseline="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baseline="0">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①　断熱対象部位の場合は「断熱部位」、断熱対象部位でない場合は「該当部位なし」を選択します。</a:t>
          </a: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②　選択肢　「直接入力」は、製品カタログやホームページに掲載がある断熱材の熱抵抗を直接入力する場合に選択します。</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（「⑨備考欄」に参照したカタログや</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WEB</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、製品名、メーカー名、厚さ</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[mm]</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、添付する根拠資料の名称、熱伝導率（わかる場合）の記載をします）。</a:t>
          </a: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選択肢　「断熱材の種類から入力」は、断熱材の種類と厚さから熱抵抗を計算する場合に選択します。</a:t>
          </a: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③　断熱工法を選択します。「外張」は軸組、枠組共通です。</a:t>
          </a: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④　断熱材の種類を選択します。使用する製品の「断熱材種類」が不明の場合は製品カタログも合わせてご確認ください。参考：シート　「登録値</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_</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断熱材</a:t>
          </a:r>
          <a:r>
            <a:rPr kumimoji="1" lang="el-GR" altLang="ja-JP" sz="1200" b="0">
              <a:solidFill>
                <a:sysClr val="windowText" lastClr="000000"/>
              </a:solidFill>
              <a:latin typeface="BIZ UDPゴシック" panose="020B0400000000000000" pitchFamily="50" charset="-128"/>
              <a:ea typeface="BIZ UDPゴシック" panose="020B0400000000000000" pitchFamily="50" charset="-128"/>
            </a:rPr>
            <a:t>λ</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値」</a:t>
          </a: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⑤　断熱材の種類を選択すると自動的に表示されます。</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JIS</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で定められた値です。</a:t>
          </a: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⑥　④で選択した断熱材の厚さをミリ単位で入力します。</a:t>
          </a: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⑦　熱抵抗</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R</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の計算は「厚さ</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熱伝導率」で計算し小数点第３位以下を切り捨てした値を表示します。製品カタログの値と異なる場合があります。</a:t>
          </a: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⑧　熱抵抗</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R</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を直接入力する場合は、製品カタログやホームページに掲載の値を入力します。設計値では小数点第３位以下を切り捨てした値を表示します。</a:t>
          </a: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⑨　熱抵抗</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R</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を直接入力した場合、参照した資料　製品名、メーカー名、・厚さ［㎜］、添付する根拠資料の名称、熱伝導率（わかる場合）を記載します。</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200" b="0">
              <a:solidFill>
                <a:srgbClr val="00B0F0"/>
              </a:solidFill>
              <a:latin typeface="BIZ UDPゴシック" panose="020B0400000000000000" pitchFamily="50" charset="-128"/>
              <a:ea typeface="BIZ UDPゴシック" panose="020B0400000000000000" pitchFamily="50" charset="-128"/>
            </a:rPr>
            <a:t> </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仕様表への表示は二行を想定しているため、改行を入れると文字が読めなくなる可能性があります。</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xdr:col>
      <xdr:colOff>231834</xdr:colOff>
      <xdr:row>15</xdr:row>
      <xdr:rowOff>38101</xdr:rowOff>
    </xdr:from>
    <xdr:to>
      <xdr:col>3</xdr:col>
      <xdr:colOff>231834</xdr:colOff>
      <xdr:row>15</xdr:row>
      <xdr:rowOff>3458101</xdr:rowOff>
    </xdr:to>
    <xdr:cxnSp macro="">
      <xdr:nvCxnSpPr>
        <xdr:cNvPr id="18" name="直線コネクタ 17">
          <a:extLst>
            <a:ext uri="{FF2B5EF4-FFF2-40B4-BE49-F238E27FC236}">
              <a16:creationId xmlns:a16="http://schemas.microsoft.com/office/drawing/2014/main" id="{D5A4D5A2-8EB7-495F-97C7-EF154C33BB2D}"/>
            </a:ext>
          </a:extLst>
        </xdr:cNvPr>
        <xdr:cNvCxnSpPr/>
      </xdr:nvCxnSpPr>
      <xdr:spPr>
        <a:xfrm flipH="1">
          <a:off x="3205751" y="7435851"/>
          <a:ext cx="0" cy="3420000"/>
        </a:xfrm>
        <a:prstGeom prst="line">
          <a:avLst/>
        </a:prstGeom>
        <a:ln w="15875">
          <a:solidFill>
            <a:schemeClr val="tx1">
              <a:lumMod val="50000"/>
              <a:lumOff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412754</xdr:colOff>
      <xdr:row>14</xdr:row>
      <xdr:rowOff>164028</xdr:rowOff>
    </xdr:from>
    <xdr:to>
      <xdr:col>17</xdr:col>
      <xdr:colOff>845343</xdr:colOff>
      <xdr:row>16</xdr:row>
      <xdr:rowOff>142875</xdr:rowOff>
    </xdr:to>
    <xdr:sp macro="" textlink="">
      <xdr:nvSpPr>
        <xdr:cNvPr id="19" name="テキスト ボックス 18">
          <a:extLst>
            <a:ext uri="{FF2B5EF4-FFF2-40B4-BE49-F238E27FC236}">
              <a16:creationId xmlns:a16="http://schemas.microsoft.com/office/drawing/2014/main" id="{EDD39675-1F1E-42D2-95D0-21574BB9C73D}"/>
            </a:ext>
          </a:extLst>
        </xdr:cNvPr>
        <xdr:cNvSpPr txBox="1"/>
      </xdr:nvSpPr>
      <xdr:spPr>
        <a:xfrm>
          <a:off x="3389317" y="7188716"/>
          <a:ext cx="14196214" cy="37412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複数の仕様がある場合は、性能が低い仕様（開口部の日射熱取得率 </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η</a:t>
          </a:r>
          <a:r>
            <a:rPr kumimoji="1" lang="en-US" altLang="ja-JP" sz="1400" b="0" baseline="-25000">
              <a:solidFill>
                <a:sysClr val="windowText" lastClr="000000"/>
              </a:solidFill>
              <a:latin typeface="BIZ UDPゴシック" panose="020B0400000000000000" pitchFamily="50" charset="-128"/>
              <a:ea typeface="BIZ UDPゴシック" panose="020B0400000000000000" pitchFamily="50" charset="-128"/>
            </a:rPr>
            <a:t>d</a:t>
          </a:r>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が大きい方）を記入してください。</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有効なひさし等がある所に設置する窓とない所の両方に設置する窓がある場合、両方を仕様表に記載する必要があります。</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下記①～⑨は、表の項目列①～⑨の入力について説明します。</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①　有効なひさし、軒等が</a:t>
          </a:r>
          <a:r>
            <a:rPr kumimoji="1" lang="ja-JP" altLang="en-US" sz="1200" b="0" u="sng">
              <a:solidFill>
                <a:sysClr val="windowText" lastClr="000000"/>
              </a:solidFill>
              <a:latin typeface="BIZ UDPゴシック" panose="020B0400000000000000" pitchFamily="50" charset="-128"/>
              <a:ea typeface="BIZ UDPゴシック" panose="020B0400000000000000" pitchFamily="50" charset="-128"/>
            </a:rPr>
            <a:t>ある</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ところに設置する窓がある場合は「あり」、</a:t>
          </a:r>
          <a:r>
            <a:rPr kumimoji="1" lang="ja-JP"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有効なひさし、軒等が</a:t>
          </a:r>
          <a:r>
            <a:rPr kumimoji="1" lang="ja-JP" altLang="en-US" sz="1200" b="0" u="sng">
              <a:solidFill>
                <a:sysClr val="windowText" lastClr="000000"/>
              </a:solidFill>
              <a:effectLst/>
              <a:latin typeface="BIZ UDPゴシック" panose="020B0400000000000000" pitchFamily="50" charset="-128"/>
              <a:ea typeface="BIZ UDPゴシック" panose="020B0400000000000000" pitchFamily="50" charset="-128"/>
              <a:cs typeface="+mn-cs"/>
            </a:rPr>
            <a:t>ない</a:t>
          </a:r>
          <a:r>
            <a:rPr kumimoji="1" lang="ja-JP"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ところに設置する窓がある場合は「</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なし</a:t>
          </a:r>
          <a:r>
            <a:rPr kumimoji="1" lang="ja-JP"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を選択します。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②　選択肢</a:t>
          </a:r>
          <a:r>
            <a:rPr kumimoji="1" lang="ja-JP"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「直接入力」　は、製品カタログやホームページ、自己適合宣言附属書から直接入力する方法です。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選択肢　「建具とガラスの組み合わせから入力」　は、建具、ガラスの仕様を選択して入力する方法です。参考：シート　「登録値</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_</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窓、ドアの</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U</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値</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el-GR"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η</a:t>
          </a:r>
          <a:r>
            <a:rPr kumimoji="1" lang="en-US" altLang="ja-JP" sz="1400" b="0" baseline="-25000">
              <a:solidFill>
                <a:sysClr val="windowText" lastClr="000000"/>
              </a:solidFill>
              <a:effectLst/>
              <a:latin typeface="BIZ UDPゴシック" panose="020B0400000000000000" pitchFamily="50" charset="-128"/>
              <a:ea typeface="BIZ UDPゴシック" panose="020B0400000000000000" pitchFamily="50" charset="-128"/>
              <a:cs typeface="+mn-cs"/>
            </a:rPr>
            <a:t>d</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値」</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③　建具の仕様を選択します。</a:t>
          </a:r>
          <a:r>
            <a:rPr kumimoji="1" lang="ja-JP" altLang="en-US" sz="1200" b="0">
              <a:solidFill>
                <a:srgbClr val="FF0066"/>
              </a:solidFill>
              <a:effectLst/>
              <a:latin typeface="BIZ UDPゴシック" panose="020B0400000000000000" pitchFamily="50" charset="-128"/>
              <a:ea typeface="BIZ UDPゴシック" panose="020B0400000000000000" pitchFamily="50" charset="-128"/>
              <a:cs typeface="+mn-cs"/>
            </a:rPr>
            <a:t>③⇒④⇒⑤⇒⑥の順に選択</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してください。全て選択後に窓の熱貫流率、日射熱取得率</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η</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が自動で表示されます。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「選択肢チェック」　に　「正しく選択されています」　以外が表示されている場合は、③⇒④⇒⑤⇒⑥の順に再度選択してください。　「選択肢チェック」　は表の一番右側に表示があります。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④　ガラスの仕様を選択します。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⑤　二層複層ガラス・三層複層ガラスの場合は、中空層の仕様を選択します。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kumimoji="1" lang="ja-JP" altLang="en-US" sz="1200" b="0" baseline="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中空層の厚さなど仕様が未定・不明な場合は、最も性能が低い仕様（ガスの封入されていない</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_</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中空層が薄い仕様）を選択してください。</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⑥　</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Low-E</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ガラスの場合、日射取得／遮蔽を選択します。</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Low-E</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ガラス以外の場合、「－」を選択してください。</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⑦　窓の日射熱取得率</a:t>
          </a:r>
          <a:r>
            <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rPr>
            <a:t>η</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を直接入力する場合は、製品カタログやホームページ、自己適合宣言附属書に記載の値を入力します。</a:t>
          </a: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設計値</a:t>
          </a:r>
          <a:r>
            <a:rPr kumimoji="1" lang="en-US" altLang="ja-JP" sz="1200" b="1">
              <a:solidFill>
                <a:sysClr val="windowText" lastClr="000000"/>
              </a:solidFill>
              <a:effectLst/>
              <a:latin typeface="BIZ UDPゴシック" panose="020B0400000000000000" pitchFamily="50" charset="-128"/>
              <a:ea typeface="BIZ UDPゴシック" panose="020B0400000000000000" pitchFamily="50" charset="-128"/>
              <a:cs typeface="+mn-cs"/>
            </a:rPr>
            <a:t>η</a:t>
          </a: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では入力した値を小数点第２位まで表示</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します。</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nSpc>
              <a:spcPts val="1800"/>
            </a:lnSpc>
          </a:pP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⑧　②選択肢で「直接入力」を選択した場合、製品カタログやホームページ、自己適合宣言附属書の№を記載し、　</a:t>
          </a:r>
          <a:r>
            <a:rPr kumimoji="1" lang="en-US" altLang="ja-JP" sz="1200" b="1">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自己適合宣言書と同附属書</a:t>
          </a:r>
          <a:r>
            <a:rPr kumimoji="1" lang="en-US" altLang="ja-JP" sz="1200" b="1">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en-US" sz="1200" b="0">
              <a:solidFill>
                <a:sysClr val="windowText" lastClr="000000"/>
              </a:solidFill>
              <a:effectLst/>
              <a:latin typeface="BIZ UDPゴシック" panose="020B0400000000000000" pitchFamily="50" charset="-128"/>
              <a:ea typeface="BIZ UDPゴシック" panose="020B0400000000000000" pitchFamily="50" charset="-128"/>
              <a:cs typeface="+mn-cs"/>
            </a:rPr>
            <a:t>　を添付してください。</a:t>
          </a:r>
          <a:endParaRPr kumimoji="1" lang="en-US" altLang="ja-JP" sz="1200" b="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3</xdr:col>
      <xdr:colOff>233293</xdr:colOff>
      <xdr:row>27</xdr:row>
      <xdr:rowOff>27514</xdr:rowOff>
    </xdr:from>
    <xdr:to>
      <xdr:col>3</xdr:col>
      <xdr:colOff>233293</xdr:colOff>
      <xdr:row>27</xdr:row>
      <xdr:rowOff>747514</xdr:rowOff>
    </xdr:to>
    <xdr:cxnSp macro="">
      <xdr:nvCxnSpPr>
        <xdr:cNvPr id="20" name="直線コネクタ 19">
          <a:extLst>
            <a:ext uri="{FF2B5EF4-FFF2-40B4-BE49-F238E27FC236}">
              <a16:creationId xmlns:a16="http://schemas.microsoft.com/office/drawing/2014/main" id="{89F424F3-049A-471E-A2BF-D9BF8CA4C79D}"/>
            </a:ext>
          </a:extLst>
        </xdr:cNvPr>
        <xdr:cNvCxnSpPr/>
      </xdr:nvCxnSpPr>
      <xdr:spPr>
        <a:xfrm flipH="1">
          <a:off x="3207210" y="15331014"/>
          <a:ext cx="0" cy="720000"/>
        </a:xfrm>
        <a:prstGeom prst="line">
          <a:avLst/>
        </a:prstGeom>
        <a:ln w="15875">
          <a:solidFill>
            <a:schemeClr val="tx1">
              <a:lumMod val="50000"/>
              <a:lumOff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416718</xdr:colOff>
      <xdr:row>27</xdr:row>
      <xdr:rowOff>5282</xdr:rowOff>
    </xdr:from>
    <xdr:to>
      <xdr:col>15</xdr:col>
      <xdr:colOff>104705</xdr:colOff>
      <xdr:row>27</xdr:row>
      <xdr:rowOff>740834</xdr:rowOff>
    </xdr:to>
    <xdr:sp macro="" textlink="">
      <xdr:nvSpPr>
        <xdr:cNvPr id="21" name="テキスト ボックス 20">
          <a:extLst>
            <a:ext uri="{FF2B5EF4-FFF2-40B4-BE49-F238E27FC236}">
              <a16:creationId xmlns:a16="http://schemas.microsoft.com/office/drawing/2014/main" id="{6A216890-DB37-4C61-A3E6-713231A50A02}"/>
            </a:ext>
          </a:extLst>
        </xdr:cNvPr>
        <xdr:cNvSpPr txBox="1"/>
      </xdr:nvSpPr>
      <xdr:spPr>
        <a:xfrm>
          <a:off x="3390635" y="15308782"/>
          <a:ext cx="11509570" cy="7355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nSpc>
              <a:spcPts val="1800"/>
            </a:lnSpc>
          </a:pPr>
          <a:r>
            <a:rPr kumimoji="1" lang="ja-JP" altLang="en-US" sz="1400" b="0">
              <a:solidFill>
                <a:sysClr val="windowText" lastClr="000000"/>
              </a:solidFill>
              <a:effectLst/>
              <a:latin typeface="BIZ UDPゴシック" panose="020B0400000000000000" pitchFamily="50" charset="-128"/>
              <a:ea typeface="BIZ UDPゴシック" panose="020B0400000000000000" pitchFamily="50" charset="-128"/>
              <a:cs typeface="+mn-cs"/>
            </a:rPr>
            <a:t>８地域にドアの基準値はないため、入力は不要です。</a:t>
          </a:r>
          <a:endParaRPr kumimoji="1" lang="en-US" altLang="ja-JP" sz="1400" b="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16</xdr:col>
      <xdr:colOff>535787</xdr:colOff>
      <xdr:row>0</xdr:row>
      <xdr:rowOff>95254</xdr:rowOff>
    </xdr:from>
    <xdr:to>
      <xdr:col>18</xdr:col>
      <xdr:colOff>683631</xdr:colOff>
      <xdr:row>2</xdr:row>
      <xdr:rowOff>98373</xdr:rowOff>
    </xdr:to>
    <xdr:sp macro="" textlink="">
      <xdr:nvSpPr>
        <xdr:cNvPr id="22" name="四角形: 角を丸くする 21">
          <a:extLst>
            <a:ext uri="{FF2B5EF4-FFF2-40B4-BE49-F238E27FC236}">
              <a16:creationId xmlns:a16="http://schemas.microsoft.com/office/drawing/2014/main" id="{01CDF3A2-C047-45C9-86F4-2527D77928D4}"/>
            </a:ext>
          </a:extLst>
        </xdr:cNvPr>
        <xdr:cNvSpPr/>
      </xdr:nvSpPr>
      <xdr:spPr>
        <a:xfrm>
          <a:off x="16280612" y="95254"/>
          <a:ext cx="2148094" cy="536519"/>
        </a:xfrm>
        <a:prstGeom prst="roundRect">
          <a:avLst/>
        </a:prstGeom>
        <a:solidFill>
          <a:schemeClr val="tx2">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17</xdr:col>
      <xdr:colOff>630480</xdr:colOff>
      <xdr:row>0</xdr:row>
      <xdr:rowOff>142879</xdr:rowOff>
    </xdr:from>
    <xdr:ext cx="697627" cy="425758"/>
    <xdr:sp macro="" textlink="">
      <xdr:nvSpPr>
        <xdr:cNvPr id="23" name="テキスト ボックス 22">
          <a:extLst>
            <a:ext uri="{FF2B5EF4-FFF2-40B4-BE49-F238E27FC236}">
              <a16:creationId xmlns:a16="http://schemas.microsoft.com/office/drawing/2014/main" id="{4F18F1B2-223C-4BE4-9074-F23FD611F9F1}"/>
            </a:ext>
          </a:extLst>
        </xdr:cNvPr>
        <xdr:cNvSpPr txBox="1"/>
      </xdr:nvSpPr>
      <xdr:spPr>
        <a:xfrm>
          <a:off x="17346855" y="142879"/>
          <a:ext cx="697627"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b="1">
              <a:solidFill>
                <a:schemeClr val="bg1"/>
              </a:solidFill>
              <a:latin typeface="BIZ UDPゴシック" panose="020B0400000000000000" pitchFamily="50" charset="-128"/>
              <a:ea typeface="BIZ UDPゴシック" panose="020B0400000000000000" pitchFamily="50" charset="-128"/>
            </a:rPr>
            <a:t>印刷</a:t>
          </a:r>
          <a:endParaRPr kumimoji="1" lang="en-US" altLang="ja-JP" sz="2000" b="1">
            <a:solidFill>
              <a:schemeClr val="bg1"/>
            </a:solidFill>
            <a:latin typeface="BIZ UDPゴシック" panose="020B0400000000000000" pitchFamily="50" charset="-128"/>
            <a:ea typeface="BIZ UDPゴシック" panose="020B0400000000000000" pitchFamily="50" charset="-128"/>
          </a:endParaRPr>
        </a:p>
      </xdr:txBody>
    </xdr:sp>
    <xdr:clientData/>
  </xdr:oneCellAnchor>
  <xdr:twoCellAnchor editAs="oneCell">
    <xdr:from>
      <xdr:col>16</xdr:col>
      <xdr:colOff>827489</xdr:colOff>
      <xdr:row>0</xdr:row>
      <xdr:rowOff>136924</xdr:rowOff>
    </xdr:from>
    <xdr:to>
      <xdr:col>17</xdr:col>
      <xdr:colOff>307968</xdr:colOff>
      <xdr:row>2</xdr:row>
      <xdr:rowOff>69143</xdr:rowOff>
    </xdr:to>
    <xdr:pic>
      <xdr:nvPicPr>
        <xdr:cNvPr id="24" name="グラフィックス 22" descr="プリンター 単色塗りつぶし">
          <a:extLst>
            <a:ext uri="{FF2B5EF4-FFF2-40B4-BE49-F238E27FC236}">
              <a16:creationId xmlns:a16="http://schemas.microsoft.com/office/drawing/2014/main" id="{E90BCFE4-F8D1-4B92-BA60-04FF7B733636}"/>
            </a:ext>
          </a:extLst>
        </xdr:cNvPr>
        <xdr:cNvPicPr>
          <a:picLocks noChangeAspect="1"/>
        </xdr:cNvPicPr>
      </xdr:nvPicPr>
      <xdr:blipFill>
        <a:blip xmlns:r="http://schemas.openxmlformats.org/officeDocument/2006/relationships"/>
        <a:stretch>
          <a:fillRect/>
        </a:stretch>
      </xdr:blipFill>
      <xdr:spPr>
        <a:xfrm>
          <a:off x="16572314" y="136924"/>
          <a:ext cx="452029" cy="465619"/>
        </a:xfrm>
        <a:prstGeom prst="rect">
          <a:avLst/>
        </a:prstGeom>
      </xdr:spPr>
    </xdr:pic>
    <xdr:clientData/>
  </xdr:twoCellAnchor>
  <xdr:oneCellAnchor>
    <xdr:from>
      <xdr:col>1</xdr:col>
      <xdr:colOff>790572</xdr:colOff>
      <xdr:row>5</xdr:row>
      <xdr:rowOff>4767</xdr:rowOff>
    </xdr:from>
    <xdr:ext cx="1975862" cy="392415"/>
    <xdr:sp macro="" textlink="">
      <xdr:nvSpPr>
        <xdr:cNvPr id="29" name="テキスト ボックス 28">
          <a:extLst>
            <a:ext uri="{FF2B5EF4-FFF2-40B4-BE49-F238E27FC236}">
              <a16:creationId xmlns:a16="http://schemas.microsoft.com/office/drawing/2014/main" id="{D80DE373-AA5A-4918-B8E8-237DE8587081}"/>
            </a:ext>
          </a:extLst>
        </xdr:cNvPr>
        <xdr:cNvSpPr txBox="1"/>
      </xdr:nvSpPr>
      <xdr:spPr>
        <a:xfrm>
          <a:off x="1038222" y="1119192"/>
          <a:ext cx="1975862"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b="1">
              <a:latin typeface="BIZ UDPゴシック" panose="020B0400000000000000" pitchFamily="50" charset="-128"/>
              <a:ea typeface="BIZ UDPゴシック" panose="020B0400000000000000" pitchFamily="50" charset="-128"/>
            </a:rPr>
            <a:t>断熱材の熱抵抗</a:t>
          </a:r>
          <a:r>
            <a:rPr kumimoji="1" lang="en-US" altLang="ja-JP" sz="1800" b="1">
              <a:latin typeface="BIZ UDPゴシック" panose="020B0400000000000000" pitchFamily="50" charset="-128"/>
              <a:ea typeface="BIZ UDPゴシック" panose="020B0400000000000000" pitchFamily="50" charset="-128"/>
            </a:rPr>
            <a:t>R</a:t>
          </a:r>
          <a:endParaRPr kumimoji="1" lang="ja-JP" altLang="en-US" sz="1800" b="1">
            <a:latin typeface="BIZ UDPゴシック" panose="020B0400000000000000" pitchFamily="50" charset="-128"/>
            <a:ea typeface="BIZ UDPゴシック" panose="020B0400000000000000" pitchFamily="50" charset="-128"/>
          </a:endParaRPr>
        </a:p>
      </xdr:txBody>
    </xdr:sp>
    <xdr:clientData/>
  </xdr:oneCellAnchor>
  <xdr:twoCellAnchor editAs="oneCell">
    <xdr:from>
      <xdr:col>1</xdr:col>
      <xdr:colOff>14283</xdr:colOff>
      <xdr:row>4</xdr:row>
      <xdr:rowOff>209328</xdr:rowOff>
    </xdr:from>
    <xdr:to>
      <xdr:col>1</xdr:col>
      <xdr:colOff>726819</xdr:colOff>
      <xdr:row>6</xdr:row>
      <xdr:rowOff>310203</xdr:rowOff>
    </xdr:to>
    <xdr:pic>
      <xdr:nvPicPr>
        <xdr:cNvPr id="30" name="図 29">
          <a:extLst>
            <a:ext uri="{FF2B5EF4-FFF2-40B4-BE49-F238E27FC236}">
              <a16:creationId xmlns:a16="http://schemas.microsoft.com/office/drawing/2014/main" id="{C7A75670-C1C8-4A22-8508-CC7AC801731A}"/>
            </a:ext>
          </a:extLst>
        </xdr:cNvPr>
        <xdr:cNvPicPr>
          <a:picLocks noChangeAspect="1"/>
        </xdr:cNvPicPr>
      </xdr:nvPicPr>
      <xdr:blipFill>
        <a:blip xmlns:r="http://schemas.openxmlformats.org/officeDocument/2006/relationships" r:embed="rId3"/>
        <a:stretch>
          <a:fillRect/>
        </a:stretch>
      </xdr:blipFill>
      <xdr:spPr>
        <a:xfrm>
          <a:off x="261933" y="1018953"/>
          <a:ext cx="712536" cy="710475"/>
        </a:xfrm>
        <a:prstGeom prst="rect">
          <a:avLst/>
        </a:prstGeom>
      </xdr:spPr>
    </xdr:pic>
    <xdr:clientData/>
  </xdr:twoCellAnchor>
  <xdr:twoCellAnchor editAs="oneCell">
    <xdr:from>
      <xdr:col>0</xdr:col>
      <xdr:colOff>247647</xdr:colOff>
      <xdr:row>15</xdr:row>
      <xdr:rowOff>47627</xdr:rowOff>
    </xdr:from>
    <xdr:to>
      <xdr:col>1</xdr:col>
      <xdr:colOff>721251</xdr:colOff>
      <xdr:row>15</xdr:row>
      <xdr:rowOff>767627</xdr:rowOff>
    </xdr:to>
    <xdr:pic>
      <xdr:nvPicPr>
        <xdr:cNvPr id="31" name="図 30">
          <a:extLst>
            <a:ext uri="{FF2B5EF4-FFF2-40B4-BE49-F238E27FC236}">
              <a16:creationId xmlns:a16="http://schemas.microsoft.com/office/drawing/2014/main" id="{917D5C79-81EE-4655-AE3B-259486115233}"/>
            </a:ext>
          </a:extLst>
        </xdr:cNvPr>
        <xdr:cNvPicPr>
          <a:picLocks noChangeAspect="1"/>
        </xdr:cNvPicPr>
      </xdr:nvPicPr>
      <xdr:blipFill>
        <a:blip xmlns:r="http://schemas.openxmlformats.org/officeDocument/2006/relationships" r:embed="rId4"/>
        <a:stretch>
          <a:fillRect/>
        </a:stretch>
      </xdr:blipFill>
      <xdr:spPr>
        <a:xfrm>
          <a:off x="247647" y="10458452"/>
          <a:ext cx="721254" cy="720000"/>
        </a:xfrm>
        <a:prstGeom prst="rect">
          <a:avLst/>
        </a:prstGeom>
      </xdr:spPr>
    </xdr:pic>
    <xdr:clientData/>
  </xdr:twoCellAnchor>
  <xdr:oneCellAnchor>
    <xdr:from>
      <xdr:col>1</xdr:col>
      <xdr:colOff>809625</xdr:colOff>
      <xdr:row>15</xdr:row>
      <xdr:rowOff>19054</xdr:rowOff>
    </xdr:from>
    <xdr:ext cx="2186048" cy="1592744"/>
    <xdr:sp macro="" textlink="">
      <xdr:nvSpPr>
        <xdr:cNvPr id="32" name="テキスト ボックス 31">
          <a:extLst>
            <a:ext uri="{FF2B5EF4-FFF2-40B4-BE49-F238E27FC236}">
              <a16:creationId xmlns:a16="http://schemas.microsoft.com/office/drawing/2014/main" id="{DB300AB5-5EE6-4D19-97DF-D4465CB4A4D1}"/>
            </a:ext>
          </a:extLst>
        </xdr:cNvPr>
        <xdr:cNvSpPr txBox="1"/>
      </xdr:nvSpPr>
      <xdr:spPr>
        <a:xfrm>
          <a:off x="1053042" y="7416804"/>
          <a:ext cx="2186048" cy="15927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b="1">
              <a:latin typeface="BIZ UDPゴシック" panose="020B0400000000000000" pitchFamily="50" charset="-128"/>
              <a:ea typeface="BIZ UDPゴシック" panose="020B0400000000000000" pitchFamily="50" charset="-128"/>
            </a:rPr>
            <a:t>窓の</a:t>
          </a:r>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日射遮蔽対策</a:t>
          </a:r>
          <a:endParaRPr kumimoji="1" lang="en-US" altLang="ja-JP" sz="1800" b="1">
            <a:latin typeface="BIZ UDPゴシック" panose="020B0400000000000000" pitchFamily="50" charset="-128"/>
            <a:ea typeface="BIZ UDPゴシック" panose="020B0400000000000000" pitchFamily="50" charset="-128"/>
          </a:endParaRPr>
        </a:p>
        <a:p>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８地域の窓は</a:t>
          </a:r>
          <a:endParaRPr kumimoji="1" lang="en-US" altLang="ja-JP" sz="1800" b="1">
            <a:latin typeface="BIZ UDPゴシック" panose="020B0400000000000000" pitchFamily="50" charset="-128"/>
            <a:ea typeface="BIZ UDPゴシック" panose="020B0400000000000000" pitchFamily="50" charset="-128"/>
          </a:endParaRPr>
        </a:p>
        <a:p>
          <a:r>
            <a:rPr kumimoji="1" lang="en-US" altLang="ja-JP" sz="1800" b="1">
              <a:latin typeface="BIZ UDPゴシック" panose="020B0400000000000000" pitchFamily="50" charset="-128"/>
              <a:ea typeface="BIZ UDPゴシック" panose="020B0400000000000000" pitchFamily="50" charset="-128"/>
            </a:rPr>
            <a:t>U</a:t>
          </a:r>
          <a:r>
            <a:rPr kumimoji="1" lang="ja-JP" altLang="en-US" sz="1800" b="1">
              <a:latin typeface="BIZ UDPゴシック" panose="020B0400000000000000" pitchFamily="50" charset="-128"/>
              <a:ea typeface="BIZ UDPゴシック" panose="020B0400000000000000" pitchFamily="50" charset="-128"/>
            </a:rPr>
            <a:t>基準はありません</a:t>
          </a:r>
        </a:p>
      </xdr:txBody>
    </xdr:sp>
    <xdr:clientData/>
  </xdr:oneCellAnchor>
  <xdr:twoCellAnchor editAs="oneCell">
    <xdr:from>
      <xdr:col>0</xdr:col>
      <xdr:colOff>238125</xdr:colOff>
      <xdr:row>27</xdr:row>
      <xdr:rowOff>40470</xdr:rowOff>
    </xdr:from>
    <xdr:to>
      <xdr:col>1</xdr:col>
      <xdr:colOff>711729</xdr:colOff>
      <xdr:row>27</xdr:row>
      <xdr:rowOff>760470</xdr:rowOff>
    </xdr:to>
    <xdr:pic>
      <xdr:nvPicPr>
        <xdr:cNvPr id="33" name="図 32">
          <a:extLst>
            <a:ext uri="{FF2B5EF4-FFF2-40B4-BE49-F238E27FC236}">
              <a16:creationId xmlns:a16="http://schemas.microsoft.com/office/drawing/2014/main" id="{D2E3FE89-FDA6-4CC0-A8A8-0742A55C77C3}"/>
            </a:ext>
          </a:extLst>
        </xdr:cNvPr>
        <xdr:cNvPicPr>
          <a:picLocks noChangeAspect="1"/>
        </xdr:cNvPicPr>
      </xdr:nvPicPr>
      <xdr:blipFill>
        <a:blip xmlns:r="http://schemas.openxmlformats.org/officeDocument/2006/relationships" r:embed="rId4"/>
        <a:stretch>
          <a:fillRect/>
        </a:stretch>
      </xdr:blipFill>
      <xdr:spPr>
        <a:xfrm>
          <a:off x="238125" y="17976045"/>
          <a:ext cx="721254" cy="720000"/>
        </a:xfrm>
        <a:prstGeom prst="rect">
          <a:avLst/>
        </a:prstGeom>
      </xdr:spPr>
    </xdr:pic>
    <xdr:clientData/>
  </xdr:twoCellAnchor>
  <xdr:oneCellAnchor>
    <xdr:from>
      <xdr:col>1</xdr:col>
      <xdr:colOff>800103</xdr:colOff>
      <xdr:row>27</xdr:row>
      <xdr:rowOff>71427</xdr:rowOff>
    </xdr:from>
    <xdr:ext cx="1306512" cy="692497"/>
    <xdr:sp macro="" textlink="">
      <xdr:nvSpPr>
        <xdr:cNvPr id="34" name="テキスト ボックス 33">
          <a:extLst>
            <a:ext uri="{FF2B5EF4-FFF2-40B4-BE49-F238E27FC236}">
              <a16:creationId xmlns:a16="http://schemas.microsoft.com/office/drawing/2014/main" id="{47D67D22-3C52-40A1-9989-6D34AD567FE9}"/>
            </a:ext>
          </a:extLst>
        </xdr:cNvPr>
        <xdr:cNvSpPr txBox="1"/>
      </xdr:nvSpPr>
      <xdr:spPr>
        <a:xfrm>
          <a:off x="1047753" y="18007002"/>
          <a:ext cx="1306512" cy="6924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b="1">
              <a:latin typeface="BIZ UDPゴシック" panose="020B0400000000000000" pitchFamily="50" charset="-128"/>
              <a:ea typeface="BIZ UDPゴシック" panose="020B0400000000000000" pitchFamily="50" charset="-128"/>
            </a:rPr>
            <a:t>ドアの</a:t>
          </a:r>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熱貫流率</a:t>
          </a:r>
          <a:r>
            <a:rPr kumimoji="1" lang="en-US" altLang="ja-JP" sz="1800" b="1">
              <a:latin typeface="BIZ UDPゴシック" panose="020B0400000000000000" pitchFamily="50" charset="-128"/>
              <a:ea typeface="BIZ UDPゴシック" panose="020B0400000000000000" pitchFamily="50" charset="-128"/>
            </a:rPr>
            <a:t>U</a:t>
          </a:r>
        </a:p>
      </xdr:txBody>
    </xdr:sp>
    <xdr:clientData/>
  </xdr:oneCellAnchor>
  <xdr:twoCellAnchor editAs="oneCell">
    <xdr:from>
      <xdr:col>1</xdr:col>
      <xdr:colOff>23813</xdr:colOff>
      <xdr:row>29</xdr:row>
      <xdr:rowOff>154771</xdr:rowOff>
    </xdr:from>
    <xdr:to>
      <xdr:col>1</xdr:col>
      <xdr:colOff>743813</xdr:colOff>
      <xdr:row>30</xdr:row>
      <xdr:rowOff>708083</xdr:rowOff>
    </xdr:to>
    <xdr:pic>
      <xdr:nvPicPr>
        <xdr:cNvPr id="35" name="図 34">
          <a:extLst>
            <a:ext uri="{FF2B5EF4-FFF2-40B4-BE49-F238E27FC236}">
              <a16:creationId xmlns:a16="http://schemas.microsoft.com/office/drawing/2014/main" id="{C35CF123-6096-4F0F-9475-B3818BC85BFD}"/>
            </a:ext>
          </a:extLst>
        </xdr:cNvPr>
        <xdr:cNvPicPr>
          <a:picLocks noChangeAspect="1"/>
        </xdr:cNvPicPr>
      </xdr:nvPicPr>
      <xdr:blipFill>
        <a:blip xmlns:r="http://schemas.openxmlformats.org/officeDocument/2006/relationships" r:embed="rId5"/>
        <a:stretch>
          <a:fillRect/>
        </a:stretch>
      </xdr:blipFill>
      <xdr:spPr>
        <a:xfrm>
          <a:off x="271463" y="22795696"/>
          <a:ext cx="720000" cy="724763"/>
        </a:xfrm>
        <a:prstGeom prst="rect">
          <a:avLst/>
        </a:prstGeom>
      </xdr:spPr>
    </xdr:pic>
    <xdr:clientData/>
  </xdr:twoCellAnchor>
  <xdr:oneCellAnchor>
    <xdr:from>
      <xdr:col>1</xdr:col>
      <xdr:colOff>821532</xdr:colOff>
      <xdr:row>30</xdr:row>
      <xdr:rowOff>83329</xdr:rowOff>
    </xdr:from>
    <xdr:ext cx="1800493" cy="392415"/>
    <xdr:sp macro="" textlink="">
      <xdr:nvSpPr>
        <xdr:cNvPr id="36" name="テキスト ボックス 35">
          <a:extLst>
            <a:ext uri="{FF2B5EF4-FFF2-40B4-BE49-F238E27FC236}">
              <a16:creationId xmlns:a16="http://schemas.microsoft.com/office/drawing/2014/main" id="{B42BF4A5-3AD5-4BC6-9701-CC54C761ECAB}"/>
            </a:ext>
          </a:extLst>
        </xdr:cNvPr>
        <xdr:cNvSpPr txBox="1"/>
      </xdr:nvSpPr>
      <xdr:spPr>
        <a:xfrm>
          <a:off x="1069182" y="22895704"/>
          <a:ext cx="1800493"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b="1">
              <a:latin typeface="BIZ UDPゴシック" panose="020B0400000000000000" pitchFamily="50" charset="-128"/>
              <a:ea typeface="BIZ UDPゴシック" panose="020B0400000000000000" pitchFamily="50" charset="-128"/>
            </a:rPr>
            <a:t>設備機器の仕様</a:t>
          </a:r>
          <a:endParaRPr kumimoji="1" lang="en-US" altLang="ja-JP" sz="1800" b="1">
            <a:latin typeface="BIZ UDPゴシック" panose="020B0400000000000000" pitchFamily="50" charset="-128"/>
            <a:ea typeface="BIZ UDPゴシック" panose="020B0400000000000000"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2</xdr:col>
          <xdr:colOff>638175</xdr:colOff>
          <xdr:row>39</xdr:row>
          <xdr:rowOff>9525</xdr:rowOff>
        </xdr:from>
        <xdr:to>
          <xdr:col>3</xdr:col>
          <xdr:colOff>47625</xdr:colOff>
          <xdr:row>40</xdr:row>
          <xdr:rowOff>0</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BFD5943F-4553-4341-9E77-4FC2BCDE085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40</xdr:row>
          <xdr:rowOff>9525</xdr:rowOff>
        </xdr:from>
        <xdr:to>
          <xdr:col>3</xdr:col>
          <xdr:colOff>47625</xdr:colOff>
          <xdr:row>41</xdr:row>
          <xdr:rowOff>0</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ABF2E38F-F5F9-4523-A7E2-CE82CB3DDBD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41</xdr:row>
          <xdr:rowOff>9525</xdr:rowOff>
        </xdr:from>
        <xdr:to>
          <xdr:col>3</xdr:col>
          <xdr:colOff>47625</xdr:colOff>
          <xdr:row>42</xdr:row>
          <xdr:rowOff>0</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E16852F8-1FBE-4852-AD7B-60261790A0F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42</xdr:row>
          <xdr:rowOff>9525</xdr:rowOff>
        </xdr:from>
        <xdr:to>
          <xdr:col>3</xdr:col>
          <xdr:colOff>47625</xdr:colOff>
          <xdr:row>43</xdr:row>
          <xdr:rowOff>0</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2CA2A3E-AA95-4D21-9052-33607F05C33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44</xdr:row>
          <xdr:rowOff>9525</xdr:rowOff>
        </xdr:from>
        <xdr:to>
          <xdr:col>3</xdr:col>
          <xdr:colOff>47625</xdr:colOff>
          <xdr:row>45</xdr:row>
          <xdr:rowOff>0</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3262D594-86BA-4D50-BA0C-4C315F8BAB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45</xdr:row>
          <xdr:rowOff>9525</xdr:rowOff>
        </xdr:from>
        <xdr:to>
          <xdr:col>3</xdr:col>
          <xdr:colOff>47625</xdr:colOff>
          <xdr:row>46</xdr:row>
          <xdr:rowOff>0</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F7340537-2119-43F2-8841-BE21A4E37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46</xdr:row>
          <xdr:rowOff>9525</xdr:rowOff>
        </xdr:from>
        <xdr:to>
          <xdr:col>3</xdr:col>
          <xdr:colOff>47625</xdr:colOff>
          <xdr:row>47</xdr:row>
          <xdr:rowOff>0</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A08A7967-3A68-4736-B7F9-EE3329C6B9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47</xdr:row>
          <xdr:rowOff>9525</xdr:rowOff>
        </xdr:from>
        <xdr:to>
          <xdr:col>3</xdr:col>
          <xdr:colOff>47625</xdr:colOff>
          <xdr:row>48</xdr:row>
          <xdr:rowOff>0</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FA88F7FB-20CB-46F2-91C8-F08D7DF5F6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49</xdr:row>
          <xdr:rowOff>9525</xdr:rowOff>
        </xdr:from>
        <xdr:to>
          <xdr:col>3</xdr:col>
          <xdr:colOff>47625</xdr:colOff>
          <xdr:row>50</xdr:row>
          <xdr:rowOff>0</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DD2C30AB-340F-41CF-861B-7D26CFEA31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50</xdr:row>
          <xdr:rowOff>9525</xdr:rowOff>
        </xdr:from>
        <xdr:to>
          <xdr:col>3</xdr:col>
          <xdr:colOff>47625</xdr:colOff>
          <xdr:row>51</xdr:row>
          <xdr:rowOff>0</xdr:rowOff>
        </xdr:to>
        <xdr:sp macro="" textlink="">
          <xdr:nvSpPr>
            <xdr:cNvPr id="21523" name="Check Box 19" hidden="1">
              <a:extLst>
                <a:ext uri="{63B3BB69-23CF-44E3-9099-C40C66FF867C}">
                  <a14:compatExt spid="_x0000_s21523"/>
                </a:ext>
                <a:ext uri="{FF2B5EF4-FFF2-40B4-BE49-F238E27FC236}">
                  <a16:creationId xmlns:a16="http://schemas.microsoft.com/office/drawing/2014/main" id="{BE8AC592-BF33-460D-8342-0E82B3815C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19</a:t>
              </a:r>
            </a:p>
          </xdr:txBody>
        </xdr:sp>
        <xdr:clientData/>
      </xdr:twoCellAnchor>
    </mc:Choice>
    <mc:Fallback/>
  </mc:AlternateContent>
  <xdr:twoCellAnchor>
    <xdr:from>
      <xdr:col>12</xdr:col>
      <xdr:colOff>787507</xdr:colOff>
      <xdr:row>28</xdr:row>
      <xdr:rowOff>44921</xdr:rowOff>
    </xdr:from>
    <xdr:to>
      <xdr:col>13</xdr:col>
      <xdr:colOff>850640</xdr:colOff>
      <xdr:row>30</xdr:row>
      <xdr:rowOff>647545</xdr:rowOff>
    </xdr:to>
    <xdr:grpSp>
      <xdr:nvGrpSpPr>
        <xdr:cNvPr id="37" name="グループ化 36">
          <a:extLst>
            <a:ext uri="{FF2B5EF4-FFF2-40B4-BE49-F238E27FC236}">
              <a16:creationId xmlns:a16="http://schemas.microsoft.com/office/drawing/2014/main" id="{7565645A-27E7-4A80-846E-051629AC32DC}"/>
            </a:ext>
          </a:extLst>
        </xdr:cNvPr>
        <xdr:cNvGrpSpPr/>
      </xdr:nvGrpSpPr>
      <xdr:grpSpPr>
        <a:xfrm>
          <a:off x="12646132" y="16015171"/>
          <a:ext cx="1031508" cy="951874"/>
          <a:chOff x="9763125" y="9251158"/>
          <a:chExt cx="1012031" cy="936000"/>
        </a:xfrm>
      </xdr:grpSpPr>
      <xdr:sp macro="[0]!Sheet4.地域567全クリア_Click" textlink="">
        <xdr:nvSpPr>
          <xdr:cNvPr id="38" name="四角形: 角を丸くする 37">
            <a:extLst>
              <a:ext uri="{FF2B5EF4-FFF2-40B4-BE49-F238E27FC236}">
                <a16:creationId xmlns:a16="http://schemas.microsoft.com/office/drawing/2014/main" id="{AE65D23B-A456-E84D-8C8C-FC37F1A8B171}"/>
              </a:ext>
            </a:extLst>
          </xdr:cNvPr>
          <xdr:cNvSpPr/>
        </xdr:nvSpPr>
        <xdr:spPr>
          <a:xfrm>
            <a:off x="9810750" y="9251158"/>
            <a:ext cx="936000" cy="936000"/>
          </a:xfrm>
          <a:prstGeom prst="roundRect">
            <a:avLst/>
          </a:prstGeom>
          <a:solidFill>
            <a:schemeClr val="accent6"/>
          </a:solidFill>
          <a:ln>
            <a:solidFill>
              <a:schemeClr val="bg2">
                <a:lumMod val="9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100" b="1">
              <a:latin typeface="Meiryo UI" panose="020B0604030504040204" pitchFamily="50" charset="-128"/>
              <a:ea typeface="Meiryo UI" panose="020B0604030504040204" pitchFamily="50" charset="-128"/>
            </a:endParaRPr>
          </a:p>
        </xdr:txBody>
      </xdr:sp>
      <xdr:sp macro="[0]!Sheet4.地域567全クリア_Click" textlink="">
        <xdr:nvSpPr>
          <xdr:cNvPr id="39" name="四角形: 角を丸くする 38">
            <a:extLst>
              <a:ext uri="{FF2B5EF4-FFF2-40B4-BE49-F238E27FC236}">
                <a16:creationId xmlns:a16="http://schemas.microsoft.com/office/drawing/2014/main" id="{2A9DFFC1-270C-B3A3-EF25-D81B34F72A61}"/>
              </a:ext>
            </a:extLst>
          </xdr:cNvPr>
          <xdr:cNvSpPr/>
        </xdr:nvSpPr>
        <xdr:spPr>
          <a:xfrm>
            <a:off x="9763125" y="9274969"/>
            <a:ext cx="1012031" cy="892967"/>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bg1"/>
                </a:solidFill>
                <a:latin typeface="Meiryo UI" panose="020B0604030504040204" pitchFamily="50" charset="-128"/>
                <a:ea typeface="Meiryo UI" panose="020B0604030504040204" pitchFamily="50" charset="-128"/>
              </a:rPr>
              <a:t>すべての</a:t>
            </a:r>
            <a:endParaRPr kumimoji="1" lang="en-US" altLang="ja-JP" sz="1100" b="1">
              <a:solidFill>
                <a:schemeClr val="bg1"/>
              </a:solidFill>
              <a:latin typeface="Meiryo UI" panose="020B0604030504040204" pitchFamily="50" charset="-128"/>
              <a:ea typeface="Meiryo UI" panose="020B0604030504040204" pitchFamily="50" charset="-128"/>
            </a:endParaRPr>
          </a:p>
          <a:p>
            <a:pPr algn="ctr"/>
            <a:r>
              <a:rPr kumimoji="1" lang="ja-JP" altLang="en-US" sz="1100" b="1">
                <a:solidFill>
                  <a:schemeClr val="bg1"/>
                </a:solidFill>
                <a:latin typeface="Meiryo UI" panose="020B0604030504040204" pitchFamily="50" charset="-128"/>
                <a:ea typeface="Meiryo UI" panose="020B0604030504040204" pitchFamily="50" charset="-128"/>
              </a:rPr>
              <a:t>チェック✓を</a:t>
            </a:r>
            <a:endParaRPr kumimoji="1" lang="en-US" altLang="ja-JP" sz="1100" b="1">
              <a:solidFill>
                <a:schemeClr val="bg1"/>
              </a:solidFill>
              <a:latin typeface="Meiryo UI" panose="020B0604030504040204" pitchFamily="50" charset="-128"/>
              <a:ea typeface="Meiryo UI" panose="020B0604030504040204" pitchFamily="50" charset="-128"/>
            </a:endParaRPr>
          </a:p>
          <a:p>
            <a:pPr algn="ctr"/>
            <a:r>
              <a:rPr kumimoji="1" lang="ja-JP" altLang="en-US" sz="1100" b="1">
                <a:solidFill>
                  <a:schemeClr val="bg1"/>
                </a:solidFill>
                <a:latin typeface="Meiryo UI" panose="020B0604030504040204" pitchFamily="50" charset="-128"/>
                <a:ea typeface="Meiryo UI" panose="020B0604030504040204" pitchFamily="50" charset="-128"/>
              </a:rPr>
              <a:t>クリア</a:t>
            </a:r>
          </a:p>
        </xdr:txBody>
      </xdr:sp>
    </xdr:grpSp>
    <xdr:clientData/>
  </xdr:twoCellAnchor>
  <mc:AlternateContent xmlns:mc="http://schemas.openxmlformats.org/markup-compatibility/2006">
    <mc:Choice xmlns:a14="http://schemas.microsoft.com/office/drawing/2010/main" Requires="a14">
      <xdr:twoCellAnchor editAs="oneCell">
        <xdr:from>
          <xdr:col>2</xdr:col>
          <xdr:colOff>647700</xdr:colOff>
          <xdr:row>31</xdr:row>
          <xdr:rowOff>19050</xdr:rowOff>
        </xdr:from>
        <xdr:to>
          <xdr:col>3</xdr:col>
          <xdr:colOff>76200</xdr:colOff>
          <xdr:row>31</xdr:row>
          <xdr:rowOff>361950</xdr:rowOff>
        </xdr:to>
        <xdr:sp macro="" textlink="">
          <xdr:nvSpPr>
            <xdr:cNvPr id="21524" name="Check Box 20" hidden="1">
              <a:extLst>
                <a:ext uri="{63B3BB69-23CF-44E3-9099-C40C66FF867C}">
                  <a14:compatExt spid="_x0000_s21524"/>
                </a:ext>
                <a:ext uri="{FF2B5EF4-FFF2-40B4-BE49-F238E27FC236}">
                  <a16:creationId xmlns:a16="http://schemas.microsoft.com/office/drawing/2014/main" id="{8E04651B-8A48-4D9E-9707-463D51268F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32</xdr:row>
          <xdr:rowOff>9525</xdr:rowOff>
        </xdr:from>
        <xdr:to>
          <xdr:col>3</xdr:col>
          <xdr:colOff>76200</xdr:colOff>
          <xdr:row>33</xdr:row>
          <xdr:rowOff>0</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A61F23BB-0F9C-4896-B2FD-E3903A93C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37</xdr:row>
          <xdr:rowOff>19050</xdr:rowOff>
        </xdr:from>
        <xdr:to>
          <xdr:col>3</xdr:col>
          <xdr:colOff>76200</xdr:colOff>
          <xdr:row>37</xdr:row>
          <xdr:rowOff>371475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58F969FE-E308-4C07-9CCC-0720D0B3373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22</a:t>
              </a:r>
            </a:p>
          </xdr:txBody>
        </xdr:sp>
        <xdr:clientData/>
      </xdr:twoCellAnchor>
    </mc:Choice>
    <mc:Fallback/>
  </mc:AlternateContent>
  <xdr:twoCellAnchor>
    <xdr:from>
      <xdr:col>16</xdr:col>
      <xdr:colOff>435429</xdr:colOff>
      <xdr:row>0</xdr:row>
      <xdr:rowOff>54428</xdr:rowOff>
    </xdr:from>
    <xdr:to>
      <xdr:col>18</xdr:col>
      <xdr:colOff>775609</xdr:colOff>
      <xdr:row>2</xdr:row>
      <xdr:rowOff>163284</xdr:rowOff>
    </xdr:to>
    <xdr:sp macro="[0]!印刷プレビュー表示" textlink="">
      <xdr:nvSpPr>
        <xdr:cNvPr id="40" name="正方形/長方形 39">
          <a:extLst>
            <a:ext uri="{FF2B5EF4-FFF2-40B4-BE49-F238E27FC236}">
              <a16:creationId xmlns:a16="http://schemas.microsoft.com/office/drawing/2014/main" id="{401CA5C7-1DD3-4E6C-9FAB-97CDF368EC6C}"/>
            </a:ext>
          </a:extLst>
        </xdr:cNvPr>
        <xdr:cNvSpPr/>
      </xdr:nvSpPr>
      <xdr:spPr>
        <a:xfrm>
          <a:off x="16138072" y="54428"/>
          <a:ext cx="2340430" cy="65314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mc:AlternateContent xmlns:mc="http://schemas.openxmlformats.org/markup-compatibility/2006">
    <mc:Choice xmlns:a14="http://schemas.microsoft.com/office/drawing/2010/main" Requires="a14">
      <xdr:twoCellAnchor editAs="oneCell">
        <xdr:from>
          <xdr:col>5</xdr:col>
          <xdr:colOff>647700</xdr:colOff>
          <xdr:row>33</xdr:row>
          <xdr:rowOff>9525</xdr:rowOff>
        </xdr:from>
        <xdr:to>
          <xdr:col>6</xdr:col>
          <xdr:colOff>66675</xdr:colOff>
          <xdr:row>34</xdr:row>
          <xdr:rowOff>0</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23E3C696-82E3-491E-9650-EBF08A78D6C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647700</xdr:colOff>
          <xdr:row>34</xdr:row>
          <xdr:rowOff>9525</xdr:rowOff>
        </xdr:from>
        <xdr:to>
          <xdr:col>6</xdr:col>
          <xdr:colOff>66675</xdr:colOff>
          <xdr:row>35</xdr:row>
          <xdr:rowOff>0</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12D998AF-E304-42FF-BD22-036043C3D1B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647700</xdr:colOff>
          <xdr:row>35</xdr:row>
          <xdr:rowOff>9525</xdr:rowOff>
        </xdr:from>
        <xdr:to>
          <xdr:col>6</xdr:col>
          <xdr:colOff>66675</xdr:colOff>
          <xdr:row>36</xdr:row>
          <xdr:rowOff>0</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605D2AA2-E306-49AC-A404-66AFA1B1CB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647700</xdr:colOff>
          <xdr:row>36</xdr:row>
          <xdr:rowOff>9525</xdr:rowOff>
        </xdr:from>
        <xdr:to>
          <xdr:col>6</xdr:col>
          <xdr:colOff>66675</xdr:colOff>
          <xdr:row>37</xdr:row>
          <xdr:rowOff>0</xdr:rowOff>
        </xdr:to>
        <xdr:sp macro="" textlink="">
          <xdr:nvSpPr>
            <xdr:cNvPr id="21530" name="Check Box 26" hidden="1">
              <a:extLst>
                <a:ext uri="{63B3BB69-23CF-44E3-9099-C40C66FF867C}">
                  <a14:compatExt spid="_x0000_s21530"/>
                </a:ext>
                <a:ext uri="{FF2B5EF4-FFF2-40B4-BE49-F238E27FC236}">
                  <a16:creationId xmlns:a16="http://schemas.microsoft.com/office/drawing/2014/main" id="{D0AD7071-DF4B-4876-8DA4-F706119CEC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26</a:t>
              </a:r>
            </a:p>
          </xdr:txBody>
        </xdr:sp>
        <xdr:clientData/>
      </xdr:twoCellAnchor>
    </mc:Choice>
    <mc:Fallback/>
  </mc:AlternateContent>
  <xdr:twoCellAnchor>
    <xdr:from>
      <xdr:col>3</xdr:col>
      <xdr:colOff>230208</xdr:colOff>
      <xdr:row>4</xdr:row>
      <xdr:rowOff>243923</xdr:rowOff>
    </xdr:from>
    <xdr:to>
      <xdr:col>3</xdr:col>
      <xdr:colOff>230208</xdr:colOff>
      <xdr:row>6</xdr:row>
      <xdr:rowOff>3440798</xdr:rowOff>
    </xdr:to>
    <xdr:cxnSp macro="">
      <xdr:nvCxnSpPr>
        <xdr:cNvPr id="25" name="直線コネクタ 24">
          <a:extLst>
            <a:ext uri="{FF2B5EF4-FFF2-40B4-BE49-F238E27FC236}">
              <a16:creationId xmlns:a16="http://schemas.microsoft.com/office/drawing/2014/main" id="{D47F16CA-5848-4786-B8A2-05C7AEAC7F53}"/>
            </a:ext>
          </a:extLst>
        </xdr:cNvPr>
        <xdr:cNvCxnSpPr/>
      </xdr:nvCxnSpPr>
      <xdr:spPr>
        <a:xfrm flipH="1">
          <a:off x="3202008" y="1053548"/>
          <a:ext cx="0" cy="3806475"/>
        </a:xfrm>
        <a:prstGeom prst="line">
          <a:avLst/>
        </a:prstGeom>
        <a:ln w="15875">
          <a:solidFill>
            <a:schemeClr val="tx1">
              <a:lumMod val="50000"/>
              <a:lumOff val="50000"/>
            </a:schemeClr>
          </a:solidFill>
        </a:ln>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297517</xdr:colOff>
      <xdr:row>1</xdr:row>
      <xdr:rowOff>4912</xdr:rowOff>
    </xdr:from>
    <xdr:to>
      <xdr:col>3</xdr:col>
      <xdr:colOff>4483</xdr:colOff>
      <xdr:row>1</xdr:row>
      <xdr:rowOff>293032</xdr:rowOff>
    </xdr:to>
    <xdr:sp macro="" textlink="">
      <xdr:nvSpPr>
        <xdr:cNvPr id="3" name="正方形/長方形 2">
          <a:extLst>
            <a:ext uri="{FF2B5EF4-FFF2-40B4-BE49-F238E27FC236}">
              <a16:creationId xmlns:a16="http://schemas.microsoft.com/office/drawing/2014/main" id="{10B48712-71E0-49F2-AF89-411DE80717CD}"/>
            </a:ext>
          </a:extLst>
        </xdr:cNvPr>
        <xdr:cNvSpPr/>
      </xdr:nvSpPr>
      <xdr:spPr>
        <a:xfrm>
          <a:off x="2517575" y="268681"/>
          <a:ext cx="395696" cy="288120"/>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1</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299111</xdr:colOff>
      <xdr:row>2</xdr:row>
      <xdr:rowOff>8188</xdr:rowOff>
    </xdr:from>
    <xdr:to>
      <xdr:col>3</xdr:col>
      <xdr:colOff>6077</xdr:colOff>
      <xdr:row>2</xdr:row>
      <xdr:rowOff>296308</xdr:rowOff>
    </xdr:to>
    <xdr:sp macro="" textlink="">
      <xdr:nvSpPr>
        <xdr:cNvPr id="4" name="正方形/長方形 3">
          <a:extLst>
            <a:ext uri="{FF2B5EF4-FFF2-40B4-BE49-F238E27FC236}">
              <a16:creationId xmlns:a16="http://schemas.microsoft.com/office/drawing/2014/main" id="{63821969-BE78-45D0-8ED6-57290504C64E}"/>
            </a:ext>
          </a:extLst>
        </xdr:cNvPr>
        <xdr:cNvSpPr/>
      </xdr:nvSpPr>
      <xdr:spPr>
        <a:xfrm>
          <a:off x="2519169" y="579688"/>
          <a:ext cx="395696" cy="288120"/>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2</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298076</xdr:colOff>
      <xdr:row>19</xdr:row>
      <xdr:rowOff>6723</xdr:rowOff>
    </xdr:from>
    <xdr:to>
      <xdr:col>3</xdr:col>
      <xdr:colOff>5042</xdr:colOff>
      <xdr:row>19</xdr:row>
      <xdr:rowOff>289671</xdr:rowOff>
    </xdr:to>
    <xdr:sp macro="" textlink="">
      <xdr:nvSpPr>
        <xdr:cNvPr id="5" name="正方形/長方形 4">
          <a:extLst>
            <a:ext uri="{FF2B5EF4-FFF2-40B4-BE49-F238E27FC236}">
              <a16:creationId xmlns:a16="http://schemas.microsoft.com/office/drawing/2014/main" id="{BDA94BA6-2C47-4BEB-9D5C-88D09B19A578}"/>
            </a:ext>
          </a:extLst>
        </xdr:cNvPr>
        <xdr:cNvSpPr/>
      </xdr:nvSpPr>
      <xdr:spPr>
        <a:xfrm>
          <a:off x="2516841" y="5721723"/>
          <a:ext cx="390525" cy="282948"/>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3</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xdr:col>
      <xdr:colOff>448235</xdr:colOff>
      <xdr:row>3</xdr:row>
      <xdr:rowOff>26290</xdr:rowOff>
    </xdr:from>
    <xdr:to>
      <xdr:col>5</xdr:col>
      <xdr:colOff>838760</xdr:colOff>
      <xdr:row>4</xdr:row>
      <xdr:rowOff>6679</xdr:rowOff>
    </xdr:to>
    <xdr:sp macro="" textlink="">
      <xdr:nvSpPr>
        <xdr:cNvPr id="6" name="正方形/長方形 5">
          <a:extLst>
            <a:ext uri="{FF2B5EF4-FFF2-40B4-BE49-F238E27FC236}">
              <a16:creationId xmlns:a16="http://schemas.microsoft.com/office/drawing/2014/main" id="{24E3F6CC-0DBA-432B-93D0-2A74BD1983CA}"/>
            </a:ext>
          </a:extLst>
        </xdr:cNvPr>
        <xdr:cNvSpPr/>
      </xdr:nvSpPr>
      <xdr:spPr>
        <a:xfrm>
          <a:off x="5071523" y="905521"/>
          <a:ext cx="390525" cy="288120"/>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4</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6</xdr:col>
      <xdr:colOff>439442</xdr:colOff>
      <xdr:row>5</xdr:row>
      <xdr:rowOff>17498</xdr:rowOff>
    </xdr:from>
    <xdr:to>
      <xdr:col>6</xdr:col>
      <xdr:colOff>829967</xdr:colOff>
      <xdr:row>5</xdr:row>
      <xdr:rowOff>305618</xdr:rowOff>
    </xdr:to>
    <xdr:sp macro="" textlink="">
      <xdr:nvSpPr>
        <xdr:cNvPr id="7" name="正方形/長方形 6">
          <a:extLst>
            <a:ext uri="{FF2B5EF4-FFF2-40B4-BE49-F238E27FC236}">
              <a16:creationId xmlns:a16="http://schemas.microsoft.com/office/drawing/2014/main" id="{127EFC29-5674-4898-A93F-1251321BF016}"/>
            </a:ext>
          </a:extLst>
        </xdr:cNvPr>
        <xdr:cNvSpPr/>
      </xdr:nvSpPr>
      <xdr:spPr>
        <a:xfrm>
          <a:off x="5919980" y="1512190"/>
          <a:ext cx="390525" cy="288120"/>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7</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6</xdr:col>
      <xdr:colOff>446943</xdr:colOff>
      <xdr:row>6</xdr:row>
      <xdr:rowOff>29308</xdr:rowOff>
    </xdr:from>
    <xdr:to>
      <xdr:col>6</xdr:col>
      <xdr:colOff>837468</xdr:colOff>
      <xdr:row>7</xdr:row>
      <xdr:rowOff>9697</xdr:rowOff>
    </xdr:to>
    <xdr:sp macro="" textlink="">
      <xdr:nvSpPr>
        <xdr:cNvPr id="8" name="正方形/長方形 7">
          <a:extLst>
            <a:ext uri="{FF2B5EF4-FFF2-40B4-BE49-F238E27FC236}">
              <a16:creationId xmlns:a16="http://schemas.microsoft.com/office/drawing/2014/main" id="{66AB68AD-003C-4875-900F-9193FFF9DE46}"/>
            </a:ext>
          </a:extLst>
        </xdr:cNvPr>
        <xdr:cNvSpPr/>
      </xdr:nvSpPr>
      <xdr:spPr>
        <a:xfrm>
          <a:off x="5927481" y="1831731"/>
          <a:ext cx="390525" cy="288120"/>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8</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6</xdr:col>
      <xdr:colOff>454270</xdr:colOff>
      <xdr:row>7</xdr:row>
      <xdr:rowOff>29307</xdr:rowOff>
    </xdr:from>
    <xdr:to>
      <xdr:col>6</xdr:col>
      <xdr:colOff>844795</xdr:colOff>
      <xdr:row>8</xdr:row>
      <xdr:rowOff>9696</xdr:rowOff>
    </xdr:to>
    <xdr:sp macro="" textlink="">
      <xdr:nvSpPr>
        <xdr:cNvPr id="9" name="正方形/長方形 8">
          <a:extLst>
            <a:ext uri="{FF2B5EF4-FFF2-40B4-BE49-F238E27FC236}">
              <a16:creationId xmlns:a16="http://schemas.microsoft.com/office/drawing/2014/main" id="{767AF019-4E98-495B-8AB3-8DF597CCF766}"/>
            </a:ext>
          </a:extLst>
        </xdr:cNvPr>
        <xdr:cNvSpPr/>
      </xdr:nvSpPr>
      <xdr:spPr>
        <a:xfrm>
          <a:off x="5934808" y="2139461"/>
          <a:ext cx="390525" cy="288120"/>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kern="1200">
              <a:solidFill>
                <a:sysClr val="windowText" lastClr="000000"/>
              </a:solidFill>
              <a:latin typeface="Meiryo UI" panose="020B0604030504040204" pitchFamily="50" charset="-128"/>
              <a:ea typeface="Meiryo UI" panose="020B0604030504040204" pitchFamily="50" charset="-128"/>
            </a:rPr>
            <a:t>9</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xdr:col>
      <xdr:colOff>446942</xdr:colOff>
      <xdr:row>8</xdr:row>
      <xdr:rowOff>21981</xdr:rowOff>
    </xdr:from>
    <xdr:to>
      <xdr:col>5</xdr:col>
      <xdr:colOff>837467</xdr:colOff>
      <xdr:row>9</xdr:row>
      <xdr:rowOff>2371</xdr:rowOff>
    </xdr:to>
    <xdr:sp macro="" textlink="">
      <xdr:nvSpPr>
        <xdr:cNvPr id="10" name="正方形/長方形 9">
          <a:extLst>
            <a:ext uri="{FF2B5EF4-FFF2-40B4-BE49-F238E27FC236}">
              <a16:creationId xmlns:a16="http://schemas.microsoft.com/office/drawing/2014/main" id="{C9337096-46B9-4C24-82D7-13784D4DCF64}"/>
            </a:ext>
          </a:extLst>
        </xdr:cNvPr>
        <xdr:cNvSpPr/>
      </xdr:nvSpPr>
      <xdr:spPr>
        <a:xfrm>
          <a:off x="5070230" y="2439866"/>
          <a:ext cx="390525" cy="288120"/>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5</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xdr:col>
      <xdr:colOff>446943</xdr:colOff>
      <xdr:row>9</xdr:row>
      <xdr:rowOff>21981</xdr:rowOff>
    </xdr:from>
    <xdr:to>
      <xdr:col>5</xdr:col>
      <xdr:colOff>837468</xdr:colOff>
      <xdr:row>10</xdr:row>
      <xdr:rowOff>2370</xdr:rowOff>
    </xdr:to>
    <xdr:sp macro="" textlink="">
      <xdr:nvSpPr>
        <xdr:cNvPr id="11" name="正方形/長方形 10">
          <a:extLst>
            <a:ext uri="{FF2B5EF4-FFF2-40B4-BE49-F238E27FC236}">
              <a16:creationId xmlns:a16="http://schemas.microsoft.com/office/drawing/2014/main" id="{65FF751B-2C1B-4ABF-B6D4-7E15BF0FF1D1}"/>
            </a:ext>
          </a:extLst>
        </xdr:cNvPr>
        <xdr:cNvSpPr/>
      </xdr:nvSpPr>
      <xdr:spPr>
        <a:xfrm>
          <a:off x="5070231" y="2747596"/>
          <a:ext cx="390525" cy="288120"/>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kern="1200">
              <a:solidFill>
                <a:sysClr val="windowText" lastClr="000000"/>
              </a:solidFill>
              <a:latin typeface="Meiryo UI" panose="020B0604030504040204" pitchFamily="50" charset="-128"/>
              <a:ea typeface="Meiryo UI" panose="020B0604030504040204" pitchFamily="50" charset="-128"/>
            </a:rPr>
            <a:t>24</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xdr:col>
      <xdr:colOff>454269</xdr:colOff>
      <xdr:row>10</xdr:row>
      <xdr:rowOff>21981</xdr:rowOff>
    </xdr:from>
    <xdr:to>
      <xdr:col>5</xdr:col>
      <xdr:colOff>844794</xdr:colOff>
      <xdr:row>11</xdr:row>
      <xdr:rowOff>2370</xdr:rowOff>
    </xdr:to>
    <xdr:sp macro="" textlink="">
      <xdr:nvSpPr>
        <xdr:cNvPr id="12" name="正方形/長方形 11">
          <a:extLst>
            <a:ext uri="{FF2B5EF4-FFF2-40B4-BE49-F238E27FC236}">
              <a16:creationId xmlns:a16="http://schemas.microsoft.com/office/drawing/2014/main" id="{EDAC84CF-FB65-4D44-A4DB-41973A7C4823}"/>
            </a:ext>
          </a:extLst>
        </xdr:cNvPr>
        <xdr:cNvSpPr/>
      </xdr:nvSpPr>
      <xdr:spPr>
        <a:xfrm>
          <a:off x="5077557" y="3055327"/>
          <a:ext cx="390525" cy="288120"/>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28</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6</xdr:col>
      <xdr:colOff>468923</xdr:colOff>
      <xdr:row>13</xdr:row>
      <xdr:rowOff>14654</xdr:rowOff>
    </xdr:from>
    <xdr:to>
      <xdr:col>7</xdr:col>
      <xdr:colOff>2198</xdr:colOff>
      <xdr:row>13</xdr:row>
      <xdr:rowOff>302774</xdr:rowOff>
    </xdr:to>
    <xdr:sp macro="" textlink="">
      <xdr:nvSpPr>
        <xdr:cNvPr id="13" name="正方形/長方形 12">
          <a:extLst>
            <a:ext uri="{FF2B5EF4-FFF2-40B4-BE49-F238E27FC236}">
              <a16:creationId xmlns:a16="http://schemas.microsoft.com/office/drawing/2014/main" id="{38B9AA20-C6CC-4B49-840B-916A921FDDBC}"/>
            </a:ext>
          </a:extLst>
        </xdr:cNvPr>
        <xdr:cNvSpPr/>
      </xdr:nvSpPr>
      <xdr:spPr>
        <a:xfrm>
          <a:off x="5949461" y="3971192"/>
          <a:ext cx="390525" cy="288120"/>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31</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xdr:col>
      <xdr:colOff>446943</xdr:colOff>
      <xdr:row>11</xdr:row>
      <xdr:rowOff>36635</xdr:rowOff>
    </xdr:from>
    <xdr:to>
      <xdr:col>5</xdr:col>
      <xdr:colOff>837468</xdr:colOff>
      <xdr:row>12</xdr:row>
      <xdr:rowOff>17024</xdr:rowOff>
    </xdr:to>
    <xdr:sp macro="" textlink="">
      <xdr:nvSpPr>
        <xdr:cNvPr id="14" name="正方形/長方形 13">
          <a:extLst>
            <a:ext uri="{FF2B5EF4-FFF2-40B4-BE49-F238E27FC236}">
              <a16:creationId xmlns:a16="http://schemas.microsoft.com/office/drawing/2014/main" id="{CC1B02B9-3F45-41AE-B035-59E320ABFD7C}"/>
            </a:ext>
          </a:extLst>
        </xdr:cNvPr>
        <xdr:cNvSpPr/>
      </xdr:nvSpPr>
      <xdr:spPr>
        <a:xfrm>
          <a:off x="5070231" y="3377712"/>
          <a:ext cx="390525" cy="288120"/>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29</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6</xdr:col>
      <xdr:colOff>476250</xdr:colOff>
      <xdr:row>14</xdr:row>
      <xdr:rowOff>21981</xdr:rowOff>
    </xdr:from>
    <xdr:to>
      <xdr:col>7</xdr:col>
      <xdr:colOff>9525</xdr:colOff>
      <xdr:row>15</xdr:row>
      <xdr:rowOff>2370</xdr:rowOff>
    </xdr:to>
    <xdr:sp macro="" textlink="">
      <xdr:nvSpPr>
        <xdr:cNvPr id="15" name="正方形/長方形 14">
          <a:extLst>
            <a:ext uri="{FF2B5EF4-FFF2-40B4-BE49-F238E27FC236}">
              <a16:creationId xmlns:a16="http://schemas.microsoft.com/office/drawing/2014/main" id="{59D30FF2-6A46-4296-AE70-D35328D7C08B}"/>
            </a:ext>
          </a:extLst>
        </xdr:cNvPr>
        <xdr:cNvSpPr/>
      </xdr:nvSpPr>
      <xdr:spPr>
        <a:xfrm>
          <a:off x="5956788" y="4286250"/>
          <a:ext cx="390525" cy="288120"/>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32</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6</xdr:col>
      <xdr:colOff>476250</xdr:colOff>
      <xdr:row>15</xdr:row>
      <xdr:rowOff>21981</xdr:rowOff>
    </xdr:from>
    <xdr:to>
      <xdr:col>7</xdr:col>
      <xdr:colOff>9525</xdr:colOff>
      <xdr:row>16</xdr:row>
      <xdr:rowOff>2370</xdr:rowOff>
    </xdr:to>
    <xdr:sp macro="" textlink="">
      <xdr:nvSpPr>
        <xdr:cNvPr id="16" name="正方形/長方形 15">
          <a:extLst>
            <a:ext uri="{FF2B5EF4-FFF2-40B4-BE49-F238E27FC236}">
              <a16:creationId xmlns:a16="http://schemas.microsoft.com/office/drawing/2014/main" id="{6DC0EF88-CB4D-4B4E-BD50-1539F2DC3802}"/>
            </a:ext>
          </a:extLst>
        </xdr:cNvPr>
        <xdr:cNvSpPr/>
      </xdr:nvSpPr>
      <xdr:spPr>
        <a:xfrm>
          <a:off x="5956788" y="4593981"/>
          <a:ext cx="390525" cy="288120"/>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33</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xdr:col>
      <xdr:colOff>476250</xdr:colOff>
      <xdr:row>16</xdr:row>
      <xdr:rowOff>14654</xdr:rowOff>
    </xdr:from>
    <xdr:to>
      <xdr:col>6</xdr:col>
      <xdr:colOff>9525</xdr:colOff>
      <xdr:row>16</xdr:row>
      <xdr:rowOff>302774</xdr:rowOff>
    </xdr:to>
    <xdr:sp macro="" textlink="">
      <xdr:nvSpPr>
        <xdr:cNvPr id="17" name="正方形/長方形 16">
          <a:extLst>
            <a:ext uri="{FF2B5EF4-FFF2-40B4-BE49-F238E27FC236}">
              <a16:creationId xmlns:a16="http://schemas.microsoft.com/office/drawing/2014/main" id="{FDB69222-C418-4F42-948E-087BC7C42F62}"/>
            </a:ext>
          </a:extLst>
        </xdr:cNvPr>
        <xdr:cNvSpPr/>
      </xdr:nvSpPr>
      <xdr:spPr>
        <a:xfrm>
          <a:off x="5099538" y="4894385"/>
          <a:ext cx="390525" cy="288120"/>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kern="1200">
              <a:solidFill>
                <a:sysClr val="windowText" lastClr="000000"/>
              </a:solidFill>
              <a:latin typeface="Meiryo UI" panose="020B0604030504040204" pitchFamily="50" charset="-128"/>
              <a:ea typeface="Meiryo UI" panose="020B0604030504040204" pitchFamily="50" charset="-128"/>
            </a:rPr>
            <a:t>30</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xdr:col>
      <xdr:colOff>483577</xdr:colOff>
      <xdr:row>17</xdr:row>
      <xdr:rowOff>14653</xdr:rowOff>
    </xdr:from>
    <xdr:to>
      <xdr:col>6</xdr:col>
      <xdr:colOff>16852</xdr:colOff>
      <xdr:row>17</xdr:row>
      <xdr:rowOff>302773</xdr:rowOff>
    </xdr:to>
    <xdr:sp macro="" textlink="">
      <xdr:nvSpPr>
        <xdr:cNvPr id="18" name="正方形/長方形 17">
          <a:extLst>
            <a:ext uri="{FF2B5EF4-FFF2-40B4-BE49-F238E27FC236}">
              <a16:creationId xmlns:a16="http://schemas.microsoft.com/office/drawing/2014/main" id="{468F5CAE-20C0-4724-B7AB-672972454842}"/>
            </a:ext>
          </a:extLst>
        </xdr:cNvPr>
        <xdr:cNvSpPr/>
      </xdr:nvSpPr>
      <xdr:spPr>
        <a:xfrm>
          <a:off x="5106865" y="5202115"/>
          <a:ext cx="390525" cy="288120"/>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kern="1200">
              <a:solidFill>
                <a:sysClr val="windowText" lastClr="000000"/>
              </a:solidFill>
              <a:latin typeface="Meiryo UI" panose="020B0604030504040204" pitchFamily="50" charset="-128"/>
              <a:ea typeface="Meiryo UI" panose="020B0604030504040204" pitchFamily="50" charset="-128"/>
            </a:rPr>
            <a:t>34</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xdr:col>
      <xdr:colOff>483577</xdr:colOff>
      <xdr:row>18</xdr:row>
      <xdr:rowOff>14654</xdr:rowOff>
    </xdr:from>
    <xdr:to>
      <xdr:col>6</xdr:col>
      <xdr:colOff>16852</xdr:colOff>
      <xdr:row>18</xdr:row>
      <xdr:rowOff>302774</xdr:rowOff>
    </xdr:to>
    <xdr:sp macro="" textlink="">
      <xdr:nvSpPr>
        <xdr:cNvPr id="19" name="正方形/長方形 18">
          <a:extLst>
            <a:ext uri="{FF2B5EF4-FFF2-40B4-BE49-F238E27FC236}">
              <a16:creationId xmlns:a16="http://schemas.microsoft.com/office/drawing/2014/main" id="{14502D56-D678-4F81-BFE2-1511AC19D0D2}"/>
            </a:ext>
          </a:extLst>
        </xdr:cNvPr>
        <xdr:cNvSpPr/>
      </xdr:nvSpPr>
      <xdr:spPr>
        <a:xfrm>
          <a:off x="5106865" y="5509846"/>
          <a:ext cx="390525" cy="288120"/>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35</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289893</xdr:colOff>
      <xdr:row>21</xdr:row>
      <xdr:rowOff>16566</xdr:rowOff>
    </xdr:from>
    <xdr:to>
      <xdr:col>2</xdr:col>
      <xdr:colOff>684316</xdr:colOff>
      <xdr:row>21</xdr:row>
      <xdr:rowOff>299514</xdr:rowOff>
    </xdr:to>
    <xdr:sp macro="" textlink="">
      <xdr:nvSpPr>
        <xdr:cNvPr id="20" name="正方形/長方形 19">
          <a:extLst>
            <a:ext uri="{FF2B5EF4-FFF2-40B4-BE49-F238E27FC236}">
              <a16:creationId xmlns:a16="http://schemas.microsoft.com/office/drawing/2014/main" id="{33E65023-730F-4EC4-9F83-B4A82FEBEEE8}"/>
            </a:ext>
          </a:extLst>
        </xdr:cNvPr>
        <xdr:cNvSpPr/>
      </xdr:nvSpPr>
      <xdr:spPr>
        <a:xfrm>
          <a:off x="2509632" y="6410740"/>
          <a:ext cx="394423" cy="282948"/>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20</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293206</xdr:colOff>
      <xdr:row>22</xdr:row>
      <xdr:rowOff>19878</xdr:rowOff>
    </xdr:from>
    <xdr:to>
      <xdr:col>3</xdr:col>
      <xdr:colOff>172</xdr:colOff>
      <xdr:row>22</xdr:row>
      <xdr:rowOff>302826</xdr:rowOff>
    </xdr:to>
    <xdr:sp macro="" textlink="">
      <xdr:nvSpPr>
        <xdr:cNvPr id="21" name="正方形/長方形 20">
          <a:extLst>
            <a:ext uri="{FF2B5EF4-FFF2-40B4-BE49-F238E27FC236}">
              <a16:creationId xmlns:a16="http://schemas.microsoft.com/office/drawing/2014/main" id="{1159D6CF-8D71-49FA-8C97-87D3A3AF4C6C}"/>
            </a:ext>
          </a:extLst>
        </xdr:cNvPr>
        <xdr:cNvSpPr/>
      </xdr:nvSpPr>
      <xdr:spPr>
        <a:xfrm>
          <a:off x="2512945" y="6720508"/>
          <a:ext cx="394423" cy="282948"/>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21</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289890</xdr:colOff>
      <xdr:row>27</xdr:row>
      <xdr:rowOff>8283</xdr:rowOff>
    </xdr:from>
    <xdr:to>
      <xdr:col>2</xdr:col>
      <xdr:colOff>684313</xdr:colOff>
      <xdr:row>27</xdr:row>
      <xdr:rowOff>291231</xdr:rowOff>
    </xdr:to>
    <xdr:sp macro="" textlink="">
      <xdr:nvSpPr>
        <xdr:cNvPr id="22" name="正方形/長方形 21">
          <a:extLst>
            <a:ext uri="{FF2B5EF4-FFF2-40B4-BE49-F238E27FC236}">
              <a16:creationId xmlns:a16="http://schemas.microsoft.com/office/drawing/2014/main" id="{40889181-967F-4882-AB1D-3B44A228784A}"/>
            </a:ext>
          </a:extLst>
        </xdr:cNvPr>
        <xdr:cNvSpPr/>
      </xdr:nvSpPr>
      <xdr:spPr>
        <a:xfrm>
          <a:off x="2509629" y="8241196"/>
          <a:ext cx="394423" cy="282948"/>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22</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xdr:col>
      <xdr:colOff>480392</xdr:colOff>
      <xdr:row>23</xdr:row>
      <xdr:rowOff>16565</xdr:rowOff>
    </xdr:from>
    <xdr:to>
      <xdr:col>6</xdr:col>
      <xdr:colOff>13423</xdr:colOff>
      <xdr:row>23</xdr:row>
      <xdr:rowOff>299513</xdr:rowOff>
    </xdr:to>
    <xdr:sp macro="" textlink="">
      <xdr:nvSpPr>
        <xdr:cNvPr id="23" name="正方形/長方形 22">
          <a:extLst>
            <a:ext uri="{FF2B5EF4-FFF2-40B4-BE49-F238E27FC236}">
              <a16:creationId xmlns:a16="http://schemas.microsoft.com/office/drawing/2014/main" id="{E949D333-66C5-4488-A295-B8128074370B}"/>
            </a:ext>
          </a:extLst>
        </xdr:cNvPr>
        <xdr:cNvSpPr/>
      </xdr:nvSpPr>
      <xdr:spPr>
        <a:xfrm>
          <a:off x="5110370" y="7023652"/>
          <a:ext cx="394423" cy="282948"/>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40</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xdr:col>
      <xdr:colOff>480391</xdr:colOff>
      <xdr:row>24</xdr:row>
      <xdr:rowOff>16565</xdr:rowOff>
    </xdr:from>
    <xdr:to>
      <xdr:col>6</xdr:col>
      <xdr:colOff>13422</xdr:colOff>
      <xdr:row>24</xdr:row>
      <xdr:rowOff>299513</xdr:rowOff>
    </xdr:to>
    <xdr:sp macro="" textlink="">
      <xdr:nvSpPr>
        <xdr:cNvPr id="24" name="正方形/長方形 23">
          <a:extLst>
            <a:ext uri="{FF2B5EF4-FFF2-40B4-BE49-F238E27FC236}">
              <a16:creationId xmlns:a16="http://schemas.microsoft.com/office/drawing/2014/main" id="{FEE383A8-9746-49F8-863D-29246CA71E32}"/>
            </a:ext>
          </a:extLst>
        </xdr:cNvPr>
        <xdr:cNvSpPr/>
      </xdr:nvSpPr>
      <xdr:spPr>
        <a:xfrm>
          <a:off x="5110369" y="7330108"/>
          <a:ext cx="394423" cy="282948"/>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41</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xdr:col>
      <xdr:colOff>480390</xdr:colOff>
      <xdr:row>25</xdr:row>
      <xdr:rowOff>16565</xdr:rowOff>
    </xdr:from>
    <xdr:to>
      <xdr:col>6</xdr:col>
      <xdr:colOff>13421</xdr:colOff>
      <xdr:row>25</xdr:row>
      <xdr:rowOff>299513</xdr:rowOff>
    </xdr:to>
    <xdr:sp macro="" textlink="">
      <xdr:nvSpPr>
        <xdr:cNvPr id="25" name="正方形/長方形 24">
          <a:extLst>
            <a:ext uri="{FF2B5EF4-FFF2-40B4-BE49-F238E27FC236}">
              <a16:creationId xmlns:a16="http://schemas.microsoft.com/office/drawing/2014/main" id="{32173007-858D-438D-9576-60C7C3B8ACF8}"/>
            </a:ext>
          </a:extLst>
        </xdr:cNvPr>
        <xdr:cNvSpPr/>
      </xdr:nvSpPr>
      <xdr:spPr>
        <a:xfrm>
          <a:off x="5110368" y="7636565"/>
          <a:ext cx="394423" cy="282948"/>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42</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xdr:col>
      <xdr:colOff>480390</xdr:colOff>
      <xdr:row>26</xdr:row>
      <xdr:rowOff>16564</xdr:rowOff>
    </xdr:from>
    <xdr:to>
      <xdr:col>6</xdr:col>
      <xdr:colOff>13421</xdr:colOff>
      <xdr:row>26</xdr:row>
      <xdr:rowOff>299512</xdr:rowOff>
    </xdr:to>
    <xdr:sp macro="" textlink="">
      <xdr:nvSpPr>
        <xdr:cNvPr id="26" name="正方形/長方形 25">
          <a:extLst>
            <a:ext uri="{FF2B5EF4-FFF2-40B4-BE49-F238E27FC236}">
              <a16:creationId xmlns:a16="http://schemas.microsoft.com/office/drawing/2014/main" id="{65F53092-5068-405F-9871-1ED716766DC2}"/>
            </a:ext>
          </a:extLst>
        </xdr:cNvPr>
        <xdr:cNvSpPr/>
      </xdr:nvSpPr>
      <xdr:spPr>
        <a:xfrm>
          <a:off x="5110368" y="7943021"/>
          <a:ext cx="394423" cy="282948"/>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43</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256761</xdr:colOff>
      <xdr:row>34</xdr:row>
      <xdr:rowOff>24847</xdr:rowOff>
    </xdr:from>
    <xdr:to>
      <xdr:col>2</xdr:col>
      <xdr:colOff>651184</xdr:colOff>
      <xdr:row>35</xdr:row>
      <xdr:rowOff>1339</xdr:rowOff>
    </xdr:to>
    <xdr:sp macro="" textlink="">
      <xdr:nvSpPr>
        <xdr:cNvPr id="27" name="正方形/長方形 26">
          <a:extLst>
            <a:ext uri="{FF2B5EF4-FFF2-40B4-BE49-F238E27FC236}">
              <a16:creationId xmlns:a16="http://schemas.microsoft.com/office/drawing/2014/main" id="{39FDB63C-55AD-43B0-AD2C-CCB8C2CEE528}"/>
            </a:ext>
          </a:extLst>
        </xdr:cNvPr>
        <xdr:cNvSpPr/>
      </xdr:nvSpPr>
      <xdr:spPr>
        <a:xfrm>
          <a:off x="2476500" y="10402956"/>
          <a:ext cx="394423" cy="282948"/>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14</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260074</xdr:colOff>
      <xdr:row>35</xdr:row>
      <xdr:rowOff>28161</xdr:rowOff>
    </xdr:from>
    <xdr:to>
      <xdr:col>2</xdr:col>
      <xdr:colOff>654497</xdr:colOff>
      <xdr:row>36</xdr:row>
      <xdr:rowOff>4652</xdr:rowOff>
    </xdr:to>
    <xdr:sp macro="" textlink="">
      <xdr:nvSpPr>
        <xdr:cNvPr id="28" name="正方形/長方形 27">
          <a:extLst>
            <a:ext uri="{FF2B5EF4-FFF2-40B4-BE49-F238E27FC236}">
              <a16:creationId xmlns:a16="http://schemas.microsoft.com/office/drawing/2014/main" id="{0E4FE5BA-D0C6-4ECE-9B74-7F02A0AD632F}"/>
            </a:ext>
          </a:extLst>
        </xdr:cNvPr>
        <xdr:cNvSpPr/>
      </xdr:nvSpPr>
      <xdr:spPr>
        <a:xfrm>
          <a:off x="2479813" y="10712726"/>
          <a:ext cx="394423" cy="282948"/>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15</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256762</xdr:colOff>
      <xdr:row>36</xdr:row>
      <xdr:rowOff>24847</xdr:rowOff>
    </xdr:from>
    <xdr:to>
      <xdr:col>2</xdr:col>
      <xdr:colOff>651185</xdr:colOff>
      <xdr:row>37</xdr:row>
      <xdr:rowOff>1339</xdr:rowOff>
    </xdr:to>
    <xdr:sp macro="" textlink="">
      <xdr:nvSpPr>
        <xdr:cNvPr id="29" name="正方形/長方形 28">
          <a:extLst>
            <a:ext uri="{FF2B5EF4-FFF2-40B4-BE49-F238E27FC236}">
              <a16:creationId xmlns:a16="http://schemas.microsoft.com/office/drawing/2014/main" id="{E196628A-EAE4-4A7D-8BDA-1E7E86485FA0}"/>
            </a:ext>
          </a:extLst>
        </xdr:cNvPr>
        <xdr:cNvSpPr/>
      </xdr:nvSpPr>
      <xdr:spPr>
        <a:xfrm>
          <a:off x="2476501" y="11015869"/>
          <a:ext cx="394423" cy="282948"/>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16</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4</xdr:col>
      <xdr:colOff>463826</xdr:colOff>
      <xdr:row>37</xdr:row>
      <xdr:rowOff>16565</xdr:rowOff>
    </xdr:from>
    <xdr:to>
      <xdr:col>4</xdr:col>
      <xdr:colOff>858249</xdr:colOff>
      <xdr:row>37</xdr:row>
      <xdr:rowOff>299513</xdr:rowOff>
    </xdr:to>
    <xdr:sp macro="" textlink="">
      <xdr:nvSpPr>
        <xdr:cNvPr id="30" name="正方形/長方形 29">
          <a:extLst>
            <a:ext uri="{FF2B5EF4-FFF2-40B4-BE49-F238E27FC236}">
              <a16:creationId xmlns:a16="http://schemas.microsoft.com/office/drawing/2014/main" id="{37B0D0C2-80BA-4BBF-946F-77F766EB97C6}"/>
            </a:ext>
          </a:extLst>
        </xdr:cNvPr>
        <xdr:cNvSpPr/>
      </xdr:nvSpPr>
      <xdr:spPr>
        <a:xfrm>
          <a:off x="4232413" y="11314043"/>
          <a:ext cx="394423" cy="282948"/>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27</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256761</xdr:colOff>
      <xdr:row>38</xdr:row>
      <xdr:rowOff>16566</xdr:rowOff>
    </xdr:from>
    <xdr:to>
      <xdr:col>2</xdr:col>
      <xdr:colOff>651184</xdr:colOff>
      <xdr:row>38</xdr:row>
      <xdr:rowOff>299514</xdr:rowOff>
    </xdr:to>
    <xdr:sp macro="" textlink="">
      <xdr:nvSpPr>
        <xdr:cNvPr id="31" name="正方形/長方形 30">
          <a:extLst>
            <a:ext uri="{FF2B5EF4-FFF2-40B4-BE49-F238E27FC236}">
              <a16:creationId xmlns:a16="http://schemas.microsoft.com/office/drawing/2014/main" id="{04135648-2ECE-4E83-B884-546668E67EEC}"/>
            </a:ext>
          </a:extLst>
        </xdr:cNvPr>
        <xdr:cNvSpPr/>
      </xdr:nvSpPr>
      <xdr:spPr>
        <a:xfrm>
          <a:off x="2476500" y="11620501"/>
          <a:ext cx="394423" cy="282948"/>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17</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297517</xdr:colOff>
      <xdr:row>47</xdr:row>
      <xdr:rowOff>4912</xdr:rowOff>
    </xdr:from>
    <xdr:to>
      <xdr:col>3</xdr:col>
      <xdr:colOff>4483</xdr:colOff>
      <xdr:row>47</xdr:row>
      <xdr:rowOff>293032</xdr:rowOff>
    </xdr:to>
    <xdr:sp macro="" textlink="">
      <xdr:nvSpPr>
        <xdr:cNvPr id="32" name="正方形/長方形 31">
          <a:extLst>
            <a:ext uri="{FF2B5EF4-FFF2-40B4-BE49-F238E27FC236}">
              <a16:creationId xmlns:a16="http://schemas.microsoft.com/office/drawing/2014/main" id="{79A586B4-A72B-4D60-851B-2F3B24F189E2}"/>
            </a:ext>
          </a:extLst>
        </xdr:cNvPr>
        <xdr:cNvSpPr/>
      </xdr:nvSpPr>
      <xdr:spPr>
        <a:xfrm>
          <a:off x="2516842" y="271612"/>
          <a:ext cx="392766" cy="288120"/>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1</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299111</xdr:colOff>
      <xdr:row>48</xdr:row>
      <xdr:rowOff>8188</xdr:rowOff>
    </xdr:from>
    <xdr:to>
      <xdr:col>3</xdr:col>
      <xdr:colOff>6077</xdr:colOff>
      <xdr:row>48</xdr:row>
      <xdr:rowOff>296308</xdr:rowOff>
    </xdr:to>
    <xdr:sp macro="" textlink="">
      <xdr:nvSpPr>
        <xdr:cNvPr id="33" name="正方形/長方形 32">
          <a:extLst>
            <a:ext uri="{FF2B5EF4-FFF2-40B4-BE49-F238E27FC236}">
              <a16:creationId xmlns:a16="http://schemas.microsoft.com/office/drawing/2014/main" id="{1CD5CEEF-D411-461C-910E-22BB64B1B928}"/>
            </a:ext>
          </a:extLst>
        </xdr:cNvPr>
        <xdr:cNvSpPr/>
      </xdr:nvSpPr>
      <xdr:spPr>
        <a:xfrm>
          <a:off x="2518436" y="579688"/>
          <a:ext cx="392766" cy="288120"/>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2</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298076</xdr:colOff>
      <xdr:row>63</xdr:row>
      <xdr:rowOff>6723</xdr:rowOff>
    </xdr:from>
    <xdr:to>
      <xdr:col>3</xdr:col>
      <xdr:colOff>5042</xdr:colOff>
      <xdr:row>63</xdr:row>
      <xdr:rowOff>289671</xdr:rowOff>
    </xdr:to>
    <xdr:sp macro="" textlink="">
      <xdr:nvSpPr>
        <xdr:cNvPr id="34" name="正方形/長方形 33">
          <a:extLst>
            <a:ext uri="{FF2B5EF4-FFF2-40B4-BE49-F238E27FC236}">
              <a16:creationId xmlns:a16="http://schemas.microsoft.com/office/drawing/2014/main" id="{EF10BAE5-9437-4C1E-A396-7E5C07B6CB56}"/>
            </a:ext>
          </a:extLst>
        </xdr:cNvPr>
        <xdr:cNvSpPr/>
      </xdr:nvSpPr>
      <xdr:spPr>
        <a:xfrm>
          <a:off x="2517401" y="5759823"/>
          <a:ext cx="392766" cy="282948"/>
        </a:xfrm>
        <a:prstGeom prst="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31</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xdr:col>
      <xdr:colOff>448235</xdr:colOff>
      <xdr:row>49</xdr:row>
      <xdr:rowOff>26290</xdr:rowOff>
    </xdr:from>
    <xdr:to>
      <xdr:col>5</xdr:col>
      <xdr:colOff>838760</xdr:colOff>
      <xdr:row>50</xdr:row>
      <xdr:rowOff>6679</xdr:rowOff>
    </xdr:to>
    <xdr:sp macro="" textlink="">
      <xdr:nvSpPr>
        <xdr:cNvPr id="35" name="正方形/長方形 34">
          <a:extLst>
            <a:ext uri="{FF2B5EF4-FFF2-40B4-BE49-F238E27FC236}">
              <a16:creationId xmlns:a16="http://schemas.microsoft.com/office/drawing/2014/main" id="{E023537F-91F2-4F50-BB4C-E1DDE67B25F4}"/>
            </a:ext>
          </a:extLst>
        </xdr:cNvPr>
        <xdr:cNvSpPr/>
      </xdr:nvSpPr>
      <xdr:spPr>
        <a:xfrm>
          <a:off x="5067860" y="902590"/>
          <a:ext cx="390525" cy="285189"/>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4</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6</xdr:col>
      <xdr:colOff>439442</xdr:colOff>
      <xdr:row>51</xdr:row>
      <xdr:rowOff>17498</xdr:rowOff>
    </xdr:from>
    <xdr:to>
      <xdr:col>6</xdr:col>
      <xdr:colOff>829967</xdr:colOff>
      <xdr:row>51</xdr:row>
      <xdr:rowOff>305618</xdr:rowOff>
    </xdr:to>
    <xdr:sp macro="" textlink="">
      <xdr:nvSpPr>
        <xdr:cNvPr id="36" name="正方形/長方形 35">
          <a:extLst>
            <a:ext uri="{FF2B5EF4-FFF2-40B4-BE49-F238E27FC236}">
              <a16:creationId xmlns:a16="http://schemas.microsoft.com/office/drawing/2014/main" id="{1B7B8AF1-9593-4C54-A34B-FADB76B232C1}"/>
            </a:ext>
          </a:extLst>
        </xdr:cNvPr>
        <xdr:cNvSpPr/>
      </xdr:nvSpPr>
      <xdr:spPr>
        <a:xfrm>
          <a:off x="5916317" y="1503398"/>
          <a:ext cx="390525" cy="288120"/>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7</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6</xdr:col>
      <xdr:colOff>446943</xdr:colOff>
      <xdr:row>52</xdr:row>
      <xdr:rowOff>29308</xdr:rowOff>
    </xdr:from>
    <xdr:to>
      <xdr:col>6</xdr:col>
      <xdr:colOff>837468</xdr:colOff>
      <xdr:row>53</xdr:row>
      <xdr:rowOff>9697</xdr:rowOff>
    </xdr:to>
    <xdr:sp macro="" textlink="">
      <xdr:nvSpPr>
        <xdr:cNvPr id="37" name="正方形/長方形 36">
          <a:extLst>
            <a:ext uri="{FF2B5EF4-FFF2-40B4-BE49-F238E27FC236}">
              <a16:creationId xmlns:a16="http://schemas.microsoft.com/office/drawing/2014/main" id="{DBE507B9-807B-43FF-8D31-DBEB4CB40556}"/>
            </a:ext>
          </a:extLst>
        </xdr:cNvPr>
        <xdr:cNvSpPr/>
      </xdr:nvSpPr>
      <xdr:spPr>
        <a:xfrm>
          <a:off x="5923818" y="1820008"/>
          <a:ext cx="390525" cy="285189"/>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8</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6</xdr:col>
      <xdr:colOff>454270</xdr:colOff>
      <xdr:row>53</xdr:row>
      <xdr:rowOff>29307</xdr:rowOff>
    </xdr:from>
    <xdr:to>
      <xdr:col>6</xdr:col>
      <xdr:colOff>844795</xdr:colOff>
      <xdr:row>54</xdr:row>
      <xdr:rowOff>9696</xdr:rowOff>
    </xdr:to>
    <xdr:sp macro="" textlink="">
      <xdr:nvSpPr>
        <xdr:cNvPr id="38" name="正方形/長方形 37">
          <a:extLst>
            <a:ext uri="{FF2B5EF4-FFF2-40B4-BE49-F238E27FC236}">
              <a16:creationId xmlns:a16="http://schemas.microsoft.com/office/drawing/2014/main" id="{40034EA9-3395-46F9-AAAA-3700F446F3BF}"/>
            </a:ext>
          </a:extLst>
        </xdr:cNvPr>
        <xdr:cNvSpPr/>
      </xdr:nvSpPr>
      <xdr:spPr>
        <a:xfrm>
          <a:off x="5931145" y="2124807"/>
          <a:ext cx="390525" cy="285189"/>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kern="1200">
              <a:solidFill>
                <a:sysClr val="windowText" lastClr="000000"/>
              </a:solidFill>
              <a:latin typeface="Meiryo UI" panose="020B0604030504040204" pitchFamily="50" charset="-128"/>
              <a:ea typeface="Meiryo UI" panose="020B0604030504040204" pitchFamily="50" charset="-128"/>
            </a:rPr>
            <a:t>9</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xdr:col>
      <xdr:colOff>446942</xdr:colOff>
      <xdr:row>54</xdr:row>
      <xdr:rowOff>21981</xdr:rowOff>
    </xdr:from>
    <xdr:to>
      <xdr:col>5</xdr:col>
      <xdr:colOff>837467</xdr:colOff>
      <xdr:row>55</xdr:row>
      <xdr:rowOff>0</xdr:rowOff>
    </xdr:to>
    <xdr:sp macro="" textlink="">
      <xdr:nvSpPr>
        <xdr:cNvPr id="39" name="正方形/長方形 38">
          <a:extLst>
            <a:ext uri="{FF2B5EF4-FFF2-40B4-BE49-F238E27FC236}">
              <a16:creationId xmlns:a16="http://schemas.microsoft.com/office/drawing/2014/main" id="{3D1DF7B0-FD46-45FC-AA2C-9F06E2A044DA}"/>
            </a:ext>
          </a:extLst>
        </xdr:cNvPr>
        <xdr:cNvSpPr/>
      </xdr:nvSpPr>
      <xdr:spPr>
        <a:xfrm>
          <a:off x="5066567" y="2422281"/>
          <a:ext cx="390525" cy="285190"/>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5</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xdr:col>
      <xdr:colOff>454269</xdr:colOff>
      <xdr:row>55</xdr:row>
      <xdr:rowOff>21981</xdr:rowOff>
    </xdr:from>
    <xdr:to>
      <xdr:col>5</xdr:col>
      <xdr:colOff>844794</xdr:colOff>
      <xdr:row>56</xdr:row>
      <xdr:rowOff>2370</xdr:rowOff>
    </xdr:to>
    <xdr:sp macro="" textlink="">
      <xdr:nvSpPr>
        <xdr:cNvPr id="41" name="正方形/長方形 40">
          <a:extLst>
            <a:ext uri="{FF2B5EF4-FFF2-40B4-BE49-F238E27FC236}">
              <a16:creationId xmlns:a16="http://schemas.microsoft.com/office/drawing/2014/main" id="{CDD85AD0-E2E7-4AD6-9403-65A93634D7E1}"/>
            </a:ext>
          </a:extLst>
        </xdr:cNvPr>
        <xdr:cNvSpPr/>
      </xdr:nvSpPr>
      <xdr:spPr>
        <a:xfrm>
          <a:off x="5073894" y="3031881"/>
          <a:ext cx="390525" cy="285189"/>
        </a:xfrm>
        <a:prstGeom prst="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37</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6</xdr:col>
      <xdr:colOff>468923</xdr:colOff>
      <xdr:row>58</xdr:row>
      <xdr:rowOff>14654</xdr:rowOff>
    </xdr:from>
    <xdr:to>
      <xdr:col>7</xdr:col>
      <xdr:colOff>2198</xdr:colOff>
      <xdr:row>58</xdr:row>
      <xdr:rowOff>302774</xdr:rowOff>
    </xdr:to>
    <xdr:sp macro="" textlink="">
      <xdr:nvSpPr>
        <xdr:cNvPr id="42" name="正方形/長方形 41">
          <a:extLst>
            <a:ext uri="{FF2B5EF4-FFF2-40B4-BE49-F238E27FC236}">
              <a16:creationId xmlns:a16="http://schemas.microsoft.com/office/drawing/2014/main" id="{6E888B74-1F8F-4F80-8946-16ECBE02A509}"/>
            </a:ext>
          </a:extLst>
        </xdr:cNvPr>
        <xdr:cNvSpPr/>
      </xdr:nvSpPr>
      <xdr:spPr>
        <a:xfrm>
          <a:off x="5945798" y="3938954"/>
          <a:ext cx="390525" cy="288120"/>
        </a:xfrm>
        <a:prstGeom prst="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34</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xdr:col>
      <xdr:colOff>446943</xdr:colOff>
      <xdr:row>56</xdr:row>
      <xdr:rowOff>36635</xdr:rowOff>
    </xdr:from>
    <xdr:to>
      <xdr:col>5</xdr:col>
      <xdr:colOff>837468</xdr:colOff>
      <xdr:row>57</xdr:row>
      <xdr:rowOff>17024</xdr:rowOff>
    </xdr:to>
    <xdr:sp macro="" textlink="">
      <xdr:nvSpPr>
        <xdr:cNvPr id="43" name="正方形/長方形 42">
          <a:extLst>
            <a:ext uri="{FF2B5EF4-FFF2-40B4-BE49-F238E27FC236}">
              <a16:creationId xmlns:a16="http://schemas.microsoft.com/office/drawing/2014/main" id="{D5E623F0-B8F2-4A68-ABA3-55EAED59625F}"/>
            </a:ext>
          </a:extLst>
        </xdr:cNvPr>
        <xdr:cNvSpPr/>
      </xdr:nvSpPr>
      <xdr:spPr>
        <a:xfrm>
          <a:off x="5066568" y="3351335"/>
          <a:ext cx="390525" cy="285189"/>
        </a:xfrm>
        <a:prstGeom prst="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32</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6</xdr:col>
      <xdr:colOff>476250</xdr:colOff>
      <xdr:row>59</xdr:row>
      <xdr:rowOff>21981</xdr:rowOff>
    </xdr:from>
    <xdr:to>
      <xdr:col>7</xdr:col>
      <xdr:colOff>9525</xdr:colOff>
      <xdr:row>60</xdr:row>
      <xdr:rowOff>2370</xdr:rowOff>
    </xdr:to>
    <xdr:sp macro="" textlink="">
      <xdr:nvSpPr>
        <xdr:cNvPr id="44" name="正方形/長方形 43">
          <a:extLst>
            <a:ext uri="{FF2B5EF4-FFF2-40B4-BE49-F238E27FC236}">
              <a16:creationId xmlns:a16="http://schemas.microsoft.com/office/drawing/2014/main" id="{A80150D6-2CBD-45F6-8FBA-6A69D5C79095}"/>
            </a:ext>
          </a:extLst>
        </xdr:cNvPr>
        <xdr:cNvSpPr/>
      </xdr:nvSpPr>
      <xdr:spPr>
        <a:xfrm>
          <a:off x="5953125" y="4251081"/>
          <a:ext cx="390525" cy="285189"/>
        </a:xfrm>
        <a:prstGeom prst="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35</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6</xdr:col>
      <xdr:colOff>476250</xdr:colOff>
      <xdr:row>60</xdr:row>
      <xdr:rowOff>21981</xdr:rowOff>
    </xdr:from>
    <xdr:to>
      <xdr:col>7</xdr:col>
      <xdr:colOff>9525</xdr:colOff>
      <xdr:row>61</xdr:row>
      <xdr:rowOff>2370</xdr:rowOff>
    </xdr:to>
    <xdr:sp macro="" textlink="">
      <xdr:nvSpPr>
        <xdr:cNvPr id="45" name="正方形/長方形 44">
          <a:extLst>
            <a:ext uri="{FF2B5EF4-FFF2-40B4-BE49-F238E27FC236}">
              <a16:creationId xmlns:a16="http://schemas.microsoft.com/office/drawing/2014/main" id="{DA72C9C4-489D-4DEE-8B37-243860E109D6}"/>
            </a:ext>
          </a:extLst>
        </xdr:cNvPr>
        <xdr:cNvSpPr/>
      </xdr:nvSpPr>
      <xdr:spPr>
        <a:xfrm>
          <a:off x="5953125" y="4555881"/>
          <a:ext cx="390525" cy="285189"/>
        </a:xfrm>
        <a:prstGeom prst="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36</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xdr:col>
      <xdr:colOff>476250</xdr:colOff>
      <xdr:row>61</xdr:row>
      <xdr:rowOff>14654</xdr:rowOff>
    </xdr:from>
    <xdr:to>
      <xdr:col>6</xdr:col>
      <xdr:colOff>9525</xdr:colOff>
      <xdr:row>61</xdr:row>
      <xdr:rowOff>302774</xdr:rowOff>
    </xdr:to>
    <xdr:sp macro="" textlink="">
      <xdr:nvSpPr>
        <xdr:cNvPr id="46" name="正方形/長方形 45">
          <a:extLst>
            <a:ext uri="{FF2B5EF4-FFF2-40B4-BE49-F238E27FC236}">
              <a16:creationId xmlns:a16="http://schemas.microsoft.com/office/drawing/2014/main" id="{9E876047-392B-440F-9EEA-0B405272CB13}"/>
            </a:ext>
          </a:extLst>
        </xdr:cNvPr>
        <xdr:cNvSpPr/>
      </xdr:nvSpPr>
      <xdr:spPr>
        <a:xfrm>
          <a:off x="5095875" y="4853354"/>
          <a:ext cx="390525" cy="288120"/>
        </a:xfrm>
        <a:prstGeom prst="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kern="1200">
              <a:solidFill>
                <a:sysClr val="windowText" lastClr="000000"/>
              </a:solidFill>
              <a:latin typeface="Meiryo UI" panose="020B0604030504040204" pitchFamily="50" charset="-128"/>
              <a:ea typeface="Meiryo UI" panose="020B0604030504040204" pitchFamily="50" charset="-128"/>
            </a:rPr>
            <a:t>33</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xdr:col>
      <xdr:colOff>483577</xdr:colOff>
      <xdr:row>62</xdr:row>
      <xdr:rowOff>14654</xdr:rowOff>
    </xdr:from>
    <xdr:to>
      <xdr:col>6</xdr:col>
      <xdr:colOff>16852</xdr:colOff>
      <xdr:row>62</xdr:row>
      <xdr:rowOff>302774</xdr:rowOff>
    </xdr:to>
    <xdr:sp macro="" textlink="">
      <xdr:nvSpPr>
        <xdr:cNvPr id="48" name="正方形/長方形 47">
          <a:extLst>
            <a:ext uri="{FF2B5EF4-FFF2-40B4-BE49-F238E27FC236}">
              <a16:creationId xmlns:a16="http://schemas.microsoft.com/office/drawing/2014/main" id="{A73E1812-FFDA-45EE-9884-57564462C28F}"/>
            </a:ext>
          </a:extLst>
        </xdr:cNvPr>
        <xdr:cNvSpPr/>
      </xdr:nvSpPr>
      <xdr:spPr>
        <a:xfrm>
          <a:off x="5103202" y="5462954"/>
          <a:ext cx="390525" cy="288120"/>
        </a:xfrm>
        <a:prstGeom prst="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38</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289893</xdr:colOff>
      <xdr:row>65</xdr:row>
      <xdr:rowOff>16566</xdr:rowOff>
    </xdr:from>
    <xdr:to>
      <xdr:col>2</xdr:col>
      <xdr:colOff>684316</xdr:colOff>
      <xdr:row>65</xdr:row>
      <xdr:rowOff>299514</xdr:rowOff>
    </xdr:to>
    <xdr:sp macro="" textlink="">
      <xdr:nvSpPr>
        <xdr:cNvPr id="49" name="正方形/長方形 48">
          <a:extLst>
            <a:ext uri="{FF2B5EF4-FFF2-40B4-BE49-F238E27FC236}">
              <a16:creationId xmlns:a16="http://schemas.microsoft.com/office/drawing/2014/main" id="{4BFBC732-389F-4254-9D4A-6A4554C2CEBF}"/>
            </a:ext>
          </a:extLst>
        </xdr:cNvPr>
        <xdr:cNvSpPr/>
      </xdr:nvSpPr>
      <xdr:spPr>
        <a:xfrm>
          <a:off x="2509218" y="6379266"/>
          <a:ext cx="394423" cy="282948"/>
        </a:xfrm>
        <a:prstGeom prst="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27</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293206</xdr:colOff>
      <xdr:row>66</xdr:row>
      <xdr:rowOff>19878</xdr:rowOff>
    </xdr:from>
    <xdr:to>
      <xdr:col>3</xdr:col>
      <xdr:colOff>172</xdr:colOff>
      <xdr:row>66</xdr:row>
      <xdr:rowOff>302826</xdr:rowOff>
    </xdr:to>
    <xdr:sp macro="" textlink="">
      <xdr:nvSpPr>
        <xdr:cNvPr id="50" name="正方形/長方形 49">
          <a:extLst>
            <a:ext uri="{FF2B5EF4-FFF2-40B4-BE49-F238E27FC236}">
              <a16:creationId xmlns:a16="http://schemas.microsoft.com/office/drawing/2014/main" id="{98F03DF4-D6FA-40BD-9C78-092EFFADE518}"/>
            </a:ext>
          </a:extLst>
        </xdr:cNvPr>
        <xdr:cNvSpPr/>
      </xdr:nvSpPr>
      <xdr:spPr>
        <a:xfrm>
          <a:off x="2512531" y="6687378"/>
          <a:ext cx="392766" cy="282948"/>
        </a:xfrm>
        <a:prstGeom prst="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28</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289890</xdr:colOff>
      <xdr:row>71</xdr:row>
      <xdr:rowOff>8283</xdr:rowOff>
    </xdr:from>
    <xdr:to>
      <xdr:col>2</xdr:col>
      <xdr:colOff>684313</xdr:colOff>
      <xdr:row>71</xdr:row>
      <xdr:rowOff>291231</xdr:rowOff>
    </xdr:to>
    <xdr:sp macro="" textlink="">
      <xdr:nvSpPr>
        <xdr:cNvPr id="51" name="正方形/長方形 50">
          <a:extLst>
            <a:ext uri="{FF2B5EF4-FFF2-40B4-BE49-F238E27FC236}">
              <a16:creationId xmlns:a16="http://schemas.microsoft.com/office/drawing/2014/main" id="{220D82B2-E408-4DE7-9C82-83CA87835455}"/>
            </a:ext>
          </a:extLst>
        </xdr:cNvPr>
        <xdr:cNvSpPr/>
      </xdr:nvSpPr>
      <xdr:spPr>
        <a:xfrm>
          <a:off x="2509215" y="8199783"/>
          <a:ext cx="394423" cy="282948"/>
        </a:xfrm>
        <a:prstGeom prst="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29</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xdr:col>
      <xdr:colOff>480392</xdr:colOff>
      <xdr:row>67</xdr:row>
      <xdr:rowOff>16565</xdr:rowOff>
    </xdr:from>
    <xdr:to>
      <xdr:col>6</xdr:col>
      <xdr:colOff>13423</xdr:colOff>
      <xdr:row>67</xdr:row>
      <xdr:rowOff>299513</xdr:rowOff>
    </xdr:to>
    <xdr:sp macro="" textlink="">
      <xdr:nvSpPr>
        <xdr:cNvPr id="52" name="正方形/長方形 51">
          <a:extLst>
            <a:ext uri="{FF2B5EF4-FFF2-40B4-BE49-F238E27FC236}">
              <a16:creationId xmlns:a16="http://schemas.microsoft.com/office/drawing/2014/main" id="{4B4E0203-6603-44DF-9518-CB5D70077781}"/>
            </a:ext>
          </a:extLst>
        </xdr:cNvPr>
        <xdr:cNvSpPr/>
      </xdr:nvSpPr>
      <xdr:spPr>
        <a:xfrm>
          <a:off x="5100017" y="6988865"/>
          <a:ext cx="390281" cy="282948"/>
        </a:xfrm>
        <a:prstGeom prst="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39</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xdr:col>
      <xdr:colOff>480391</xdr:colOff>
      <xdr:row>68</xdr:row>
      <xdr:rowOff>16565</xdr:rowOff>
    </xdr:from>
    <xdr:to>
      <xdr:col>6</xdr:col>
      <xdr:colOff>13422</xdr:colOff>
      <xdr:row>68</xdr:row>
      <xdr:rowOff>299513</xdr:rowOff>
    </xdr:to>
    <xdr:sp macro="" textlink="">
      <xdr:nvSpPr>
        <xdr:cNvPr id="53" name="正方形/長方形 52">
          <a:extLst>
            <a:ext uri="{FF2B5EF4-FFF2-40B4-BE49-F238E27FC236}">
              <a16:creationId xmlns:a16="http://schemas.microsoft.com/office/drawing/2014/main" id="{2FF51CFD-D91B-461F-931C-0025BC47FC3C}"/>
            </a:ext>
          </a:extLst>
        </xdr:cNvPr>
        <xdr:cNvSpPr/>
      </xdr:nvSpPr>
      <xdr:spPr>
        <a:xfrm>
          <a:off x="5100016" y="7293665"/>
          <a:ext cx="390281" cy="282948"/>
        </a:xfrm>
        <a:prstGeom prst="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40</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xdr:col>
      <xdr:colOff>480390</xdr:colOff>
      <xdr:row>69</xdr:row>
      <xdr:rowOff>16565</xdr:rowOff>
    </xdr:from>
    <xdr:to>
      <xdr:col>6</xdr:col>
      <xdr:colOff>13421</xdr:colOff>
      <xdr:row>69</xdr:row>
      <xdr:rowOff>299513</xdr:rowOff>
    </xdr:to>
    <xdr:sp macro="" textlink="">
      <xdr:nvSpPr>
        <xdr:cNvPr id="54" name="正方形/長方形 53">
          <a:extLst>
            <a:ext uri="{FF2B5EF4-FFF2-40B4-BE49-F238E27FC236}">
              <a16:creationId xmlns:a16="http://schemas.microsoft.com/office/drawing/2014/main" id="{4F603AA0-ED04-4DF1-A47E-FD1FEA139B56}"/>
            </a:ext>
          </a:extLst>
        </xdr:cNvPr>
        <xdr:cNvSpPr/>
      </xdr:nvSpPr>
      <xdr:spPr>
        <a:xfrm>
          <a:off x="5100015" y="7598465"/>
          <a:ext cx="390281" cy="282948"/>
        </a:xfrm>
        <a:prstGeom prst="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41</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xdr:col>
      <xdr:colOff>480390</xdr:colOff>
      <xdr:row>70</xdr:row>
      <xdr:rowOff>16564</xdr:rowOff>
    </xdr:from>
    <xdr:to>
      <xdr:col>6</xdr:col>
      <xdr:colOff>13421</xdr:colOff>
      <xdr:row>70</xdr:row>
      <xdr:rowOff>299512</xdr:rowOff>
    </xdr:to>
    <xdr:sp macro="" textlink="">
      <xdr:nvSpPr>
        <xdr:cNvPr id="55" name="正方形/長方形 54">
          <a:extLst>
            <a:ext uri="{FF2B5EF4-FFF2-40B4-BE49-F238E27FC236}">
              <a16:creationId xmlns:a16="http://schemas.microsoft.com/office/drawing/2014/main" id="{B88B7CD8-A962-470D-AC14-5F51CBBD3DD2}"/>
            </a:ext>
          </a:extLst>
        </xdr:cNvPr>
        <xdr:cNvSpPr/>
      </xdr:nvSpPr>
      <xdr:spPr>
        <a:xfrm>
          <a:off x="5100015" y="7903264"/>
          <a:ext cx="390281" cy="282948"/>
        </a:xfrm>
        <a:prstGeom prst="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42</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289893</xdr:colOff>
      <xdr:row>77</xdr:row>
      <xdr:rowOff>16566</xdr:rowOff>
    </xdr:from>
    <xdr:to>
      <xdr:col>2</xdr:col>
      <xdr:colOff>684316</xdr:colOff>
      <xdr:row>77</xdr:row>
      <xdr:rowOff>299514</xdr:rowOff>
    </xdr:to>
    <xdr:sp macro="" textlink="">
      <xdr:nvSpPr>
        <xdr:cNvPr id="63" name="正方形/長方形 62">
          <a:extLst>
            <a:ext uri="{FF2B5EF4-FFF2-40B4-BE49-F238E27FC236}">
              <a16:creationId xmlns:a16="http://schemas.microsoft.com/office/drawing/2014/main" id="{A8D81130-0C85-4B7E-8C85-42B678F1E501}"/>
            </a:ext>
          </a:extLst>
        </xdr:cNvPr>
        <xdr:cNvSpPr/>
      </xdr:nvSpPr>
      <xdr:spPr>
        <a:xfrm>
          <a:off x="2509218" y="6379266"/>
          <a:ext cx="394423" cy="282948"/>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20</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293206</xdr:colOff>
      <xdr:row>78</xdr:row>
      <xdr:rowOff>19878</xdr:rowOff>
    </xdr:from>
    <xdr:to>
      <xdr:col>3</xdr:col>
      <xdr:colOff>172</xdr:colOff>
      <xdr:row>78</xdr:row>
      <xdr:rowOff>302826</xdr:rowOff>
    </xdr:to>
    <xdr:sp macro="" textlink="">
      <xdr:nvSpPr>
        <xdr:cNvPr id="64" name="正方形/長方形 63">
          <a:extLst>
            <a:ext uri="{FF2B5EF4-FFF2-40B4-BE49-F238E27FC236}">
              <a16:creationId xmlns:a16="http://schemas.microsoft.com/office/drawing/2014/main" id="{F931BC4A-2EF6-415D-8BDA-1E1E9D9C1ECD}"/>
            </a:ext>
          </a:extLst>
        </xdr:cNvPr>
        <xdr:cNvSpPr/>
      </xdr:nvSpPr>
      <xdr:spPr>
        <a:xfrm>
          <a:off x="2512531" y="6687378"/>
          <a:ext cx="392766" cy="282948"/>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21</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289890</xdr:colOff>
      <xdr:row>83</xdr:row>
      <xdr:rowOff>8283</xdr:rowOff>
    </xdr:from>
    <xdr:to>
      <xdr:col>2</xdr:col>
      <xdr:colOff>684313</xdr:colOff>
      <xdr:row>83</xdr:row>
      <xdr:rowOff>291231</xdr:rowOff>
    </xdr:to>
    <xdr:sp macro="" textlink="">
      <xdr:nvSpPr>
        <xdr:cNvPr id="65" name="正方形/長方形 64">
          <a:extLst>
            <a:ext uri="{FF2B5EF4-FFF2-40B4-BE49-F238E27FC236}">
              <a16:creationId xmlns:a16="http://schemas.microsoft.com/office/drawing/2014/main" id="{53BC6A09-C83A-4E15-BF93-7A06DF1EAA9E}"/>
            </a:ext>
          </a:extLst>
        </xdr:cNvPr>
        <xdr:cNvSpPr/>
      </xdr:nvSpPr>
      <xdr:spPr>
        <a:xfrm>
          <a:off x="2509215" y="8199783"/>
          <a:ext cx="394423" cy="282948"/>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22</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xdr:col>
      <xdr:colOff>480392</xdr:colOff>
      <xdr:row>79</xdr:row>
      <xdr:rowOff>16565</xdr:rowOff>
    </xdr:from>
    <xdr:to>
      <xdr:col>6</xdr:col>
      <xdr:colOff>13423</xdr:colOff>
      <xdr:row>79</xdr:row>
      <xdr:rowOff>299513</xdr:rowOff>
    </xdr:to>
    <xdr:sp macro="" textlink="">
      <xdr:nvSpPr>
        <xdr:cNvPr id="66" name="正方形/長方形 65">
          <a:extLst>
            <a:ext uri="{FF2B5EF4-FFF2-40B4-BE49-F238E27FC236}">
              <a16:creationId xmlns:a16="http://schemas.microsoft.com/office/drawing/2014/main" id="{F47FD26E-9045-4216-83A0-5AAAA0AE08A5}"/>
            </a:ext>
          </a:extLst>
        </xdr:cNvPr>
        <xdr:cNvSpPr/>
      </xdr:nvSpPr>
      <xdr:spPr>
        <a:xfrm>
          <a:off x="5100017" y="6988865"/>
          <a:ext cx="390281" cy="282948"/>
        </a:xfrm>
        <a:prstGeom prst="rect">
          <a:avLst/>
        </a:prstGeom>
        <a:solidFill>
          <a:schemeClr val="accent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23</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xdr:col>
      <xdr:colOff>480391</xdr:colOff>
      <xdr:row>80</xdr:row>
      <xdr:rowOff>16565</xdr:rowOff>
    </xdr:from>
    <xdr:to>
      <xdr:col>6</xdr:col>
      <xdr:colOff>13422</xdr:colOff>
      <xdr:row>80</xdr:row>
      <xdr:rowOff>299513</xdr:rowOff>
    </xdr:to>
    <xdr:sp macro="" textlink="">
      <xdr:nvSpPr>
        <xdr:cNvPr id="67" name="正方形/長方形 66">
          <a:extLst>
            <a:ext uri="{FF2B5EF4-FFF2-40B4-BE49-F238E27FC236}">
              <a16:creationId xmlns:a16="http://schemas.microsoft.com/office/drawing/2014/main" id="{17D1FF2B-568A-42C2-A8A4-3BE451F7215E}"/>
            </a:ext>
          </a:extLst>
        </xdr:cNvPr>
        <xdr:cNvSpPr/>
      </xdr:nvSpPr>
      <xdr:spPr>
        <a:xfrm>
          <a:off x="5100016" y="7293665"/>
          <a:ext cx="390281" cy="282948"/>
        </a:xfrm>
        <a:prstGeom prst="rect">
          <a:avLst/>
        </a:prstGeom>
        <a:solidFill>
          <a:schemeClr val="accent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24</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xdr:col>
      <xdr:colOff>480390</xdr:colOff>
      <xdr:row>81</xdr:row>
      <xdr:rowOff>16565</xdr:rowOff>
    </xdr:from>
    <xdr:to>
      <xdr:col>6</xdr:col>
      <xdr:colOff>13421</xdr:colOff>
      <xdr:row>81</xdr:row>
      <xdr:rowOff>299513</xdr:rowOff>
    </xdr:to>
    <xdr:sp macro="" textlink="">
      <xdr:nvSpPr>
        <xdr:cNvPr id="68" name="正方形/長方形 67">
          <a:extLst>
            <a:ext uri="{FF2B5EF4-FFF2-40B4-BE49-F238E27FC236}">
              <a16:creationId xmlns:a16="http://schemas.microsoft.com/office/drawing/2014/main" id="{9041398D-59FC-45F6-99BC-248F97CB9E52}"/>
            </a:ext>
          </a:extLst>
        </xdr:cNvPr>
        <xdr:cNvSpPr/>
      </xdr:nvSpPr>
      <xdr:spPr>
        <a:xfrm>
          <a:off x="5100015" y="7598465"/>
          <a:ext cx="390281" cy="282948"/>
        </a:xfrm>
        <a:prstGeom prst="rect">
          <a:avLst/>
        </a:prstGeom>
        <a:solidFill>
          <a:schemeClr val="accent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25</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xdr:col>
      <xdr:colOff>480390</xdr:colOff>
      <xdr:row>82</xdr:row>
      <xdr:rowOff>16564</xdr:rowOff>
    </xdr:from>
    <xdr:to>
      <xdr:col>6</xdr:col>
      <xdr:colOff>13421</xdr:colOff>
      <xdr:row>82</xdr:row>
      <xdr:rowOff>299512</xdr:rowOff>
    </xdr:to>
    <xdr:sp macro="" textlink="">
      <xdr:nvSpPr>
        <xdr:cNvPr id="69" name="正方形/長方形 68">
          <a:extLst>
            <a:ext uri="{FF2B5EF4-FFF2-40B4-BE49-F238E27FC236}">
              <a16:creationId xmlns:a16="http://schemas.microsoft.com/office/drawing/2014/main" id="{4D27C4A9-ADFE-4686-A23F-A54C731D98DC}"/>
            </a:ext>
          </a:extLst>
        </xdr:cNvPr>
        <xdr:cNvSpPr/>
      </xdr:nvSpPr>
      <xdr:spPr>
        <a:xfrm>
          <a:off x="5100015" y="7903264"/>
          <a:ext cx="390281" cy="282948"/>
        </a:xfrm>
        <a:prstGeom prst="rect">
          <a:avLst/>
        </a:prstGeom>
        <a:solidFill>
          <a:schemeClr val="accent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kern="1200">
              <a:solidFill>
                <a:sysClr val="windowText" lastClr="000000"/>
              </a:solidFill>
              <a:latin typeface="Meiryo UI" panose="020B0604030504040204" pitchFamily="50" charset="-128"/>
              <a:ea typeface="Meiryo UI" panose="020B0604030504040204" pitchFamily="50" charset="-128"/>
            </a:rPr>
            <a:t>26</a:t>
          </a:r>
          <a:endParaRPr kumimoji="1" lang="ja-JP" altLang="en-US" sz="1100" b="1"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95250</xdr:colOff>
      <xdr:row>2</xdr:row>
      <xdr:rowOff>0</xdr:rowOff>
    </xdr:from>
    <xdr:to>
      <xdr:col>10</xdr:col>
      <xdr:colOff>105734</xdr:colOff>
      <xdr:row>41</xdr:row>
      <xdr:rowOff>115612</xdr:rowOff>
    </xdr:to>
    <xdr:pic>
      <xdr:nvPicPr>
        <xdr:cNvPr id="2" name="図 1">
          <a:extLst>
            <a:ext uri="{FF2B5EF4-FFF2-40B4-BE49-F238E27FC236}">
              <a16:creationId xmlns:a16="http://schemas.microsoft.com/office/drawing/2014/main" id="{15A5645A-27F4-2339-3A1C-D97AA35FBA64}"/>
            </a:ext>
          </a:extLst>
        </xdr:cNvPr>
        <xdr:cNvPicPr>
          <a:picLocks noChangeAspect="1"/>
        </xdr:cNvPicPr>
      </xdr:nvPicPr>
      <xdr:blipFill>
        <a:blip xmlns:r="http://schemas.openxmlformats.org/officeDocument/2006/relationships" r:embed="rId1"/>
        <a:stretch>
          <a:fillRect/>
        </a:stretch>
      </xdr:blipFill>
      <xdr:spPr>
        <a:xfrm>
          <a:off x="95250" y="476250"/>
          <a:ext cx="6868484" cy="9402487"/>
        </a:xfrm>
        <a:prstGeom prst="rect">
          <a:avLst/>
        </a:prstGeom>
      </xdr:spPr>
    </xdr:pic>
    <xdr:clientData/>
  </xdr:twoCellAnchor>
  <xdr:twoCellAnchor editAs="oneCell">
    <xdr:from>
      <xdr:col>10</xdr:col>
      <xdr:colOff>142875</xdr:colOff>
      <xdr:row>4</xdr:row>
      <xdr:rowOff>0</xdr:rowOff>
    </xdr:from>
    <xdr:to>
      <xdr:col>19</xdr:col>
      <xdr:colOff>543842</xdr:colOff>
      <xdr:row>43</xdr:row>
      <xdr:rowOff>96559</xdr:rowOff>
    </xdr:to>
    <xdr:pic>
      <xdr:nvPicPr>
        <xdr:cNvPr id="4" name="図 3">
          <a:extLst>
            <a:ext uri="{FF2B5EF4-FFF2-40B4-BE49-F238E27FC236}">
              <a16:creationId xmlns:a16="http://schemas.microsoft.com/office/drawing/2014/main" id="{34CB3E42-800E-EFF8-DFE2-907FE92F3EAC}"/>
            </a:ext>
          </a:extLst>
        </xdr:cNvPr>
        <xdr:cNvPicPr>
          <a:picLocks noChangeAspect="1"/>
        </xdr:cNvPicPr>
      </xdr:nvPicPr>
      <xdr:blipFill>
        <a:blip xmlns:r="http://schemas.openxmlformats.org/officeDocument/2006/relationships" r:embed="rId2"/>
        <a:stretch>
          <a:fillRect/>
        </a:stretch>
      </xdr:blipFill>
      <xdr:spPr>
        <a:xfrm>
          <a:off x="7000875" y="952500"/>
          <a:ext cx="6573167" cy="9383434"/>
        </a:xfrm>
        <a:prstGeom prst="rect">
          <a:avLst/>
        </a:prstGeom>
      </xdr:spPr>
    </xdr:pic>
    <xdr:clientData/>
  </xdr:twoCellAnchor>
  <xdr:twoCellAnchor editAs="oneCell">
    <xdr:from>
      <xdr:col>20</xdr:col>
      <xdr:colOff>142875</xdr:colOff>
      <xdr:row>4</xdr:row>
      <xdr:rowOff>0</xdr:rowOff>
    </xdr:from>
    <xdr:to>
      <xdr:col>29</xdr:col>
      <xdr:colOff>439053</xdr:colOff>
      <xdr:row>43</xdr:row>
      <xdr:rowOff>144191</xdr:rowOff>
    </xdr:to>
    <xdr:pic>
      <xdr:nvPicPr>
        <xdr:cNvPr id="5" name="図 4">
          <a:extLst>
            <a:ext uri="{FF2B5EF4-FFF2-40B4-BE49-F238E27FC236}">
              <a16:creationId xmlns:a16="http://schemas.microsoft.com/office/drawing/2014/main" id="{30D02BE9-62F6-E843-E652-4A0D32D0DDE3}"/>
            </a:ext>
          </a:extLst>
        </xdr:cNvPr>
        <xdr:cNvPicPr>
          <a:picLocks noChangeAspect="1"/>
        </xdr:cNvPicPr>
      </xdr:nvPicPr>
      <xdr:blipFill>
        <a:blip xmlns:r="http://schemas.openxmlformats.org/officeDocument/2006/relationships" r:embed="rId3"/>
        <a:stretch>
          <a:fillRect/>
        </a:stretch>
      </xdr:blipFill>
      <xdr:spPr>
        <a:xfrm>
          <a:off x="13858875" y="952500"/>
          <a:ext cx="6468378" cy="943106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74083</xdr:colOff>
      <xdr:row>2</xdr:row>
      <xdr:rowOff>0</xdr:rowOff>
    </xdr:from>
    <xdr:to>
      <xdr:col>9</xdr:col>
      <xdr:colOff>658114</xdr:colOff>
      <xdr:row>41</xdr:row>
      <xdr:rowOff>118816</xdr:rowOff>
    </xdr:to>
    <xdr:pic>
      <xdr:nvPicPr>
        <xdr:cNvPr id="2" name="図 1">
          <a:extLst>
            <a:ext uri="{FF2B5EF4-FFF2-40B4-BE49-F238E27FC236}">
              <a16:creationId xmlns:a16="http://schemas.microsoft.com/office/drawing/2014/main" id="{55CB2F48-97EB-CC47-5E7D-BA0C74EA8602}"/>
            </a:ext>
          </a:extLst>
        </xdr:cNvPr>
        <xdr:cNvPicPr>
          <a:picLocks noChangeAspect="1"/>
        </xdr:cNvPicPr>
      </xdr:nvPicPr>
      <xdr:blipFill>
        <a:blip xmlns:r="http://schemas.openxmlformats.org/officeDocument/2006/relationships" r:embed="rId1"/>
        <a:stretch>
          <a:fillRect/>
        </a:stretch>
      </xdr:blipFill>
      <xdr:spPr>
        <a:xfrm>
          <a:off x="74083" y="243417"/>
          <a:ext cx="6373114" cy="9612066"/>
        </a:xfrm>
        <a:prstGeom prst="rect">
          <a:avLst/>
        </a:prstGeom>
      </xdr:spPr>
    </xdr:pic>
    <xdr:clientData/>
  </xdr:twoCellAnchor>
  <xdr:twoCellAnchor editAs="oneCell">
    <xdr:from>
      <xdr:col>10</xdr:col>
      <xdr:colOff>0</xdr:colOff>
      <xdr:row>3</xdr:row>
      <xdr:rowOff>219075</xdr:rowOff>
    </xdr:from>
    <xdr:to>
      <xdr:col>19</xdr:col>
      <xdr:colOff>48493</xdr:colOff>
      <xdr:row>40</xdr:row>
      <xdr:rowOff>86985</xdr:rowOff>
    </xdr:to>
    <xdr:pic>
      <xdr:nvPicPr>
        <xdr:cNvPr id="3" name="図 2">
          <a:extLst>
            <a:ext uri="{FF2B5EF4-FFF2-40B4-BE49-F238E27FC236}">
              <a16:creationId xmlns:a16="http://schemas.microsoft.com/office/drawing/2014/main" id="{2C8E375D-E9BF-3721-EAA2-29D3B6480C08}"/>
            </a:ext>
          </a:extLst>
        </xdr:cNvPr>
        <xdr:cNvPicPr>
          <a:picLocks noChangeAspect="1"/>
        </xdr:cNvPicPr>
      </xdr:nvPicPr>
      <xdr:blipFill>
        <a:blip xmlns:r="http://schemas.openxmlformats.org/officeDocument/2006/relationships" r:embed="rId2"/>
        <a:stretch>
          <a:fillRect/>
        </a:stretch>
      </xdr:blipFill>
      <xdr:spPr>
        <a:xfrm>
          <a:off x="6457950" y="714375"/>
          <a:ext cx="6220693" cy="9030960"/>
        </a:xfrm>
        <a:prstGeom prst="rect">
          <a:avLst/>
        </a:prstGeom>
      </xdr:spPr>
    </xdr:pic>
    <xdr:clientData/>
  </xdr:twoCellAnchor>
  <xdr:twoCellAnchor editAs="oneCell">
    <xdr:from>
      <xdr:col>19</xdr:col>
      <xdr:colOff>114300</xdr:colOff>
      <xdr:row>16</xdr:row>
      <xdr:rowOff>209550</xdr:rowOff>
    </xdr:from>
    <xdr:to>
      <xdr:col>27</xdr:col>
      <xdr:colOff>467540</xdr:colOff>
      <xdr:row>30</xdr:row>
      <xdr:rowOff>19507</xdr:rowOff>
    </xdr:to>
    <xdr:pic>
      <xdr:nvPicPr>
        <xdr:cNvPr id="5" name="図 4">
          <a:extLst>
            <a:ext uri="{FF2B5EF4-FFF2-40B4-BE49-F238E27FC236}">
              <a16:creationId xmlns:a16="http://schemas.microsoft.com/office/drawing/2014/main" id="{02A35196-C6D6-64AF-70A5-BF237EFBF101}"/>
            </a:ext>
          </a:extLst>
        </xdr:cNvPr>
        <xdr:cNvPicPr>
          <a:picLocks noChangeAspect="1"/>
        </xdr:cNvPicPr>
      </xdr:nvPicPr>
      <xdr:blipFill>
        <a:blip xmlns:r="http://schemas.openxmlformats.org/officeDocument/2006/relationships" r:embed="rId3"/>
        <a:stretch>
          <a:fillRect/>
        </a:stretch>
      </xdr:blipFill>
      <xdr:spPr>
        <a:xfrm>
          <a:off x="12744450" y="3924300"/>
          <a:ext cx="5839640" cy="3277057"/>
        </a:xfrm>
        <a:prstGeom prst="rect">
          <a:avLst/>
        </a:prstGeom>
      </xdr:spPr>
    </xdr:pic>
    <xdr:clientData/>
  </xdr:twoCellAnchor>
  <xdr:twoCellAnchor editAs="oneCell">
    <xdr:from>
      <xdr:col>19</xdr:col>
      <xdr:colOff>104775</xdr:colOff>
      <xdr:row>2</xdr:row>
      <xdr:rowOff>238125</xdr:rowOff>
    </xdr:from>
    <xdr:to>
      <xdr:col>27</xdr:col>
      <xdr:colOff>467541</xdr:colOff>
      <xdr:row>16</xdr:row>
      <xdr:rowOff>29030</xdr:rowOff>
    </xdr:to>
    <xdr:pic>
      <xdr:nvPicPr>
        <xdr:cNvPr id="6" name="図 5">
          <a:extLst>
            <a:ext uri="{FF2B5EF4-FFF2-40B4-BE49-F238E27FC236}">
              <a16:creationId xmlns:a16="http://schemas.microsoft.com/office/drawing/2014/main" id="{7BBBCF52-08B3-426C-D89A-4E847A24B72A}"/>
            </a:ext>
          </a:extLst>
        </xdr:cNvPr>
        <xdr:cNvPicPr>
          <a:picLocks noChangeAspect="1"/>
        </xdr:cNvPicPr>
      </xdr:nvPicPr>
      <xdr:blipFill>
        <a:blip xmlns:r="http://schemas.openxmlformats.org/officeDocument/2006/relationships" r:embed="rId4"/>
        <a:stretch>
          <a:fillRect/>
        </a:stretch>
      </xdr:blipFill>
      <xdr:spPr>
        <a:xfrm>
          <a:off x="12734925" y="485775"/>
          <a:ext cx="5849166" cy="325800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45.xml"/><Relationship Id="rId18" Type="http://schemas.openxmlformats.org/officeDocument/2006/relationships/ctrlProp" Target="../ctrlProps/ctrlProp50.xml"/><Relationship Id="rId26" Type="http://schemas.openxmlformats.org/officeDocument/2006/relationships/ctrlProp" Target="../ctrlProps/ctrlProp58.xml"/><Relationship Id="rId3" Type="http://schemas.openxmlformats.org/officeDocument/2006/relationships/vmlDrawing" Target="../drawings/vmlDrawing2.vml"/><Relationship Id="rId21" Type="http://schemas.openxmlformats.org/officeDocument/2006/relationships/ctrlProp" Target="../ctrlProps/ctrlProp53.xml"/><Relationship Id="rId34" Type="http://schemas.openxmlformats.org/officeDocument/2006/relationships/ctrlProp" Target="../ctrlProps/ctrlProp66.xml"/><Relationship Id="rId7" Type="http://schemas.openxmlformats.org/officeDocument/2006/relationships/ctrlProp" Target="../ctrlProps/ctrlProp39.x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2" Type="http://schemas.openxmlformats.org/officeDocument/2006/relationships/drawing" Target="../drawings/drawing4.xml"/><Relationship Id="rId16" Type="http://schemas.openxmlformats.org/officeDocument/2006/relationships/ctrlProp" Target="../ctrlProps/ctrlProp48.xml"/><Relationship Id="rId20" Type="http://schemas.openxmlformats.org/officeDocument/2006/relationships/ctrlProp" Target="../ctrlProps/ctrlProp52.xml"/><Relationship Id="rId29" Type="http://schemas.openxmlformats.org/officeDocument/2006/relationships/ctrlProp" Target="../ctrlProps/ctrlProp61.xml"/><Relationship Id="rId1" Type="http://schemas.openxmlformats.org/officeDocument/2006/relationships/printerSettings" Target="../printerSettings/printerSettings4.bin"/><Relationship Id="rId6" Type="http://schemas.openxmlformats.org/officeDocument/2006/relationships/ctrlProp" Target="../ctrlProps/ctrlProp38.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5" Type="http://schemas.openxmlformats.org/officeDocument/2006/relationships/ctrlProp" Target="../ctrlProps/ctrlProp37.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10" Type="http://schemas.openxmlformats.org/officeDocument/2006/relationships/ctrlProp" Target="../ctrlProps/ctrlProp42.xml"/><Relationship Id="rId19" Type="http://schemas.openxmlformats.org/officeDocument/2006/relationships/ctrlProp" Target="../ctrlProps/ctrlProp51.xml"/><Relationship Id="rId31" Type="http://schemas.openxmlformats.org/officeDocument/2006/relationships/ctrlProp" Target="../ctrlProps/ctrlProp63.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8" Type="http://schemas.openxmlformats.org/officeDocument/2006/relationships/ctrlProp" Target="../ctrlProps/ctrlProp40.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72.xml"/><Relationship Id="rId13" Type="http://schemas.openxmlformats.org/officeDocument/2006/relationships/ctrlProp" Target="../ctrlProps/ctrlProp77.xml"/><Relationship Id="rId18" Type="http://schemas.openxmlformats.org/officeDocument/2006/relationships/ctrlProp" Target="../ctrlProps/ctrlProp82.xml"/><Relationship Id="rId3" Type="http://schemas.openxmlformats.org/officeDocument/2006/relationships/vmlDrawing" Target="../drawings/vmlDrawing3.vml"/><Relationship Id="rId7" Type="http://schemas.openxmlformats.org/officeDocument/2006/relationships/ctrlProp" Target="../ctrlProps/ctrlProp71.xml"/><Relationship Id="rId12" Type="http://schemas.openxmlformats.org/officeDocument/2006/relationships/ctrlProp" Target="../ctrlProps/ctrlProp76.xml"/><Relationship Id="rId17" Type="http://schemas.openxmlformats.org/officeDocument/2006/relationships/ctrlProp" Target="../ctrlProps/ctrlProp81.xml"/><Relationship Id="rId2" Type="http://schemas.openxmlformats.org/officeDocument/2006/relationships/drawing" Target="../drawings/drawing5.xml"/><Relationship Id="rId16" Type="http://schemas.openxmlformats.org/officeDocument/2006/relationships/ctrlProp" Target="../ctrlProps/ctrlProp80.xml"/><Relationship Id="rId20" Type="http://schemas.openxmlformats.org/officeDocument/2006/relationships/ctrlProp" Target="../ctrlProps/ctrlProp84.xml"/><Relationship Id="rId1" Type="http://schemas.openxmlformats.org/officeDocument/2006/relationships/printerSettings" Target="../printerSettings/printerSettings5.bin"/><Relationship Id="rId6" Type="http://schemas.openxmlformats.org/officeDocument/2006/relationships/ctrlProp" Target="../ctrlProps/ctrlProp70.xml"/><Relationship Id="rId11" Type="http://schemas.openxmlformats.org/officeDocument/2006/relationships/ctrlProp" Target="../ctrlProps/ctrlProp75.xml"/><Relationship Id="rId5" Type="http://schemas.openxmlformats.org/officeDocument/2006/relationships/ctrlProp" Target="../ctrlProps/ctrlProp69.xml"/><Relationship Id="rId15" Type="http://schemas.openxmlformats.org/officeDocument/2006/relationships/ctrlProp" Target="../ctrlProps/ctrlProp79.xml"/><Relationship Id="rId10" Type="http://schemas.openxmlformats.org/officeDocument/2006/relationships/ctrlProp" Target="../ctrlProps/ctrlProp74.xml"/><Relationship Id="rId19" Type="http://schemas.openxmlformats.org/officeDocument/2006/relationships/ctrlProp" Target="../ctrlProps/ctrlProp83.xml"/><Relationship Id="rId4" Type="http://schemas.openxmlformats.org/officeDocument/2006/relationships/ctrlProp" Target="../ctrlProps/ctrlProp68.xml"/><Relationship Id="rId9" Type="http://schemas.openxmlformats.org/officeDocument/2006/relationships/ctrlProp" Target="../ctrlProps/ctrlProp73.xml"/><Relationship Id="rId14" Type="http://schemas.openxmlformats.org/officeDocument/2006/relationships/ctrlProp" Target="../ctrlProps/ctrlProp78.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3981B-D28D-417E-A6CE-38B3D7950D52}">
  <sheetPr codeName="Sheet11">
    <tabColor theme="0" tint="-0.14999847407452621"/>
    <pageSetUpPr fitToPage="1"/>
  </sheetPr>
  <dimension ref="A1:AU35"/>
  <sheetViews>
    <sheetView showGridLines="0" view="pageBreakPreview" zoomScale="60" zoomScaleNormal="50" workbookViewId="0">
      <selection activeCell="A9" sqref="A9:H9"/>
    </sheetView>
  </sheetViews>
  <sheetFormatPr defaultColWidth="0" defaultRowHeight="18.75" zeroHeight="1"/>
  <cols>
    <col min="1" max="1" width="4.625" customWidth="1"/>
    <col min="2" max="28" width="9" customWidth="1"/>
    <col min="29" max="47" width="0" hidden="1" customWidth="1"/>
    <col min="48" max="16384" width="9" hidden="1"/>
  </cols>
  <sheetData>
    <row r="1" spans="1:46" s="1" customFormat="1" ht="42" customHeight="1">
      <c r="A1" s="356" t="s">
        <v>3993</v>
      </c>
      <c r="B1" s="146"/>
      <c r="C1" s="146"/>
      <c r="D1" s="146"/>
      <c r="E1" s="146"/>
      <c r="F1" s="146"/>
      <c r="G1" s="146"/>
      <c r="H1" s="146"/>
      <c r="I1" s="146"/>
      <c r="J1" s="146"/>
      <c r="K1" s="146"/>
      <c r="L1" s="146"/>
      <c r="M1" s="146"/>
      <c r="N1" s="146"/>
      <c r="O1" s="146"/>
      <c r="P1" s="146"/>
      <c r="Q1" s="146"/>
      <c r="R1" s="146"/>
      <c r="S1" s="146"/>
      <c r="T1" s="146"/>
      <c r="U1" s="146"/>
      <c r="V1" s="146"/>
      <c r="W1" s="146"/>
      <c r="X1" s="146"/>
      <c r="Y1" s="146"/>
      <c r="Z1" s="433" t="s">
        <v>3996</v>
      </c>
      <c r="AA1" s="433"/>
      <c r="AB1" s="433"/>
    </row>
    <row r="2" spans="1:46" s="1" customFormat="1" ht="9" customHeight="1"/>
    <row r="3" spans="1:46" s="1" customFormat="1" ht="15.75">
      <c r="A3" s="154" t="s">
        <v>4169</v>
      </c>
      <c r="B3" s="154"/>
    </row>
    <row r="4" spans="1:46" s="1" customFormat="1" ht="18" customHeight="1">
      <c r="A4" s="154" t="s">
        <v>3995</v>
      </c>
      <c r="B4" s="154"/>
    </row>
    <row r="5" spans="1:46" s="1" customFormat="1" ht="18" customHeight="1">
      <c r="A5" s="154" t="s">
        <v>4279</v>
      </c>
      <c r="B5" s="154"/>
    </row>
    <row r="6" spans="1:46" s="1" customFormat="1" ht="18" customHeight="1">
      <c r="A6" s="154" t="s">
        <v>4170</v>
      </c>
      <c r="B6" s="154"/>
    </row>
    <row r="7" spans="1:46" s="1" customFormat="1" ht="18" customHeight="1">
      <c r="A7" s="154" t="s">
        <v>4171</v>
      </c>
      <c r="B7" s="154"/>
    </row>
    <row r="8" spans="1:46" s="1" customFormat="1" ht="18" customHeight="1">
      <c r="A8" s="154" t="s">
        <v>3997</v>
      </c>
      <c r="B8" s="154"/>
    </row>
    <row r="9" spans="1:46" s="1" customFormat="1" ht="18" customHeight="1">
      <c r="A9" s="434" t="s">
        <v>3998</v>
      </c>
      <c r="B9" s="434"/>
      <c r="C9" s="434"/>
      <c r="D9" s="434"/>
      <c r="E9" s="434"/>
      <c r="F9" s="434"/>
      <c r="G9" s="434"/>
      <c r="H9" s="434"/>
    </row>
    <row r="10" spans="1:46" s="1" customFormat="1" ht="18" customHeight="1">
      <c r="A10" s="355" t="s">
        <v>4266</v>
      </c>
      <c r="B10" s="154"/>
    </row>
    <row r="11" spans="1:46" s="1" customFormat="1" ht="18" customHeight="1">
      <c r="A11" s="154" t="s">
        <v>4002</v>
      </c>
    </row>
    <row r="12" spans="1:46" s="1" customFormat="1" ht="18" customHeight="1">
      <c r="A12" s="154" t="s">
        <v>4172</v>
      </c>
    </row>
    <row r="13" spans="1:46" s="1" customFormat="1" ht="9" customHeight="1"/>
    <row r="14" spans="1:46" ht="13.5" customHeight="1"/>
    <row r="15" spans="1:46" s="1" customFormat="1" ht="27" customHeight="1">
      <c r="A15" s="353" t="s">
        <v>4080</v>
      </c>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c r="AD15"/>
      <c r="AE15"/>
      <c r="AF15"/>
      <c r="AG15"/>
      <c r="AH15"/>
      <c r="AI15"/>
      <c r="AJ15"/>
      <c r="AK15"/>
      <c r="AL15"/>
      <c r="AM15"/>
      <c r="AN15"/>
      <c r="AO15"/>
      <c r="AP15"/>
      <c r="AQ15"/>
      <c r="AR15"/>
      <c r="AS15"/>
      <c r="AT15"/>
    </row>
    <row r="16" spans="1:46" ht="24" customHeight="1">
      <c r="A16" s="154" t="s">
        <v>4173</v>
      </c>
    </row>
    <row r="17" spans="1:14" ht="24" customHeight="1">
      <c r="A17" s="154" t="s">
        <v>3908</v>
      </c>
    </row>
    <row r="18" spans="1:14" ht="24" customHeight="1">
      <c r="A18" s="154" t="s">
        <v>3909</v>
      </c>
    </row>
    <row r="19" spans="1:14" ht="24" customHeight="1">
      <c r="A19" s="154" t="s">
        <v>3910</v>
      </c>
    </row>
    <row r="20" spans="1:14" ht="24" customHeight="1">
      <c r="A20" s="154"/>
      <c r="B20" s="154" t="s">
        <v>4078</v>
      </c>
    </row>
    <row r="21" spans="1:14" ht="24" customHeight="1">
      <c r="A21" s="154"/>
      <c r="C21" s="343"/>
      <c r="D21" s="154" t="s">
        <v>4069</v>
      </c>
      <c r="G21" s="346" t="s">
        <v>4064</v>
      </c>
      <c r="H21" s="154" t="s">
        <v>4068</v>
      </c>
      <c r="M21" s="345"/>
      <c r="N21" s="154" t="s">
        <v>4065</v>
      </c>
    </row>
    <row r="22" spans="1:14" ht="24" customHeight="1">
      <c r="A22" s="154"/>
      <c r="C22" s="344" t="s">
        <v>4066</v>
      </c>
      <c r="D22" s="154" t="s">
        <v>4067</v>
      </c>
    </row>
    <row r="23" spans="1:14" ht="24" customHeight="1">
      <c r="A23" s="154"/>
      <c r="B23" s="154" t="s">
        <v>4174</v>
      </c>
    </row>
    <row r="24" spans="1:14" ht="24" customHeight="1">
      <c r="A24" s="154"/>
      <c r="B24" s="154" t="s">
        <v>4175</v>
      </c>
    </row>
    <row r="25" spans="1:14" ht="24" customHeight="1">
      <c r="A25" s="154"/>
      <c r="B25" s="154" t="s">
        <v>4280</v>
      </c>
    </row>
    <row r="26" spans="1:14" ht="24" customHeight="1">
      <c r="A26" s="154" t="s">
        <v>4268</v>
      </c>
    </row>
    <row r="27" spans="1:14" ht="24" customHeight="1">
      <c r="A27" s="154" t="s">
        <v>4176</v>
      </c>
    </row>
    <row r="28" spans="1:14" ht="24" customHeight="1">
      <c r="A28" s="154" t="s">
        <v>4267</v>
      </c>
    </row>
    <row r="29" spans="1:14" ht="24" customHeight="1">
      <c r="A29" s="154" t="s">
        <v>4269</v>
      </c>
    </row>
    <row r="30" spans="1:14" ht="24" customHeight="1">
      <c r="A30" s="154" t="s">
        <v>4270</v>
      </c>
    </row>
    <row r="31" spans="1:14" ht="24" customHeight="1">
      <c r="A31" s="154" t="s">
        <v>4079</v>
      </c>
    </row>
    <row r="32" spans="1:14"/>
    <row r="33" spans="1:28" hidden="1">
      <c r="A33" s="351"/>
      <c r="B33" s="351"/>
      <c r="C33" s="351"/>
      <c r="D33" s="351"/>
      <c r="E33" s="351"/>
      <c r="F33" s="351"/>
      <c r="G33" s="351"/>
      <c r="H33" s="351"/>
      <c r="I33" s="351"/>
      <c r="J33" s="351"/>
      <c r="K33" s="351"/>
      <c r="L33" s="351"/>
      <c r="M33" s="351"/>
      <c r="N33" s="351"/>
      <c r="O33" s="351"/>
      <c r="P33" s="351"/>
      <c r="Q33" s="351"/>
      <c r="R33" s="351"/>
      <c r="S33" s="351"/>
      <c r="T33" s="351"/>
      <c r="U33" s="351"/>
      <c r="V33" s="351"/>
      <c r="W33" s="351"/>
      <c r="X33" s="351"/>
      <c r="Y33" s="351"/>
      <c r="Z33" s="351"/>
      <c r="AA33" s="351"/>
      <c r="AB33" s="351"/>
    </row>
    <row r="34" spans="1:28"/>
    <row r="35" spans="1:28"/>
  </sheetData>
  <sheetProtection algorithmName="SHA-512" hashValue="UNyC+ks7/cRvvPvry9Jwv/6fHTONC/AUmdmqEFHb1UoZlAp+54BvbgfPytMp7c26d5wrJKLdwHCaiE/wf/QCbQ==" saltValue="QQIv9z8fKdBXmmI9HdH6wQ==" spinCount="100000" sheet="1" selectLockedCells="1"/>
  <mergeCells count="2">
    <mergeCell ref="Z1:AB1"/>
    <mergeCell ref="A9:H9"/>
  </mergeCells>
  <phoneticPr fontId="12"/>
  <pageMargins left="0.70866141732283472" right="0.70866141732283472" top="0.74803149606299213" bottom="0.74803149606299213" header="0.31496062992125984" footer="0.31496062992125984"/>
  <pageSetup paperSize="9" scale="48" orientation="landscape"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FA24C-D65E-404C-8A6D-BDED2DFB03F4}">
  <sheetPr codeName="Sheet10">
    <tabColor theme="0" tint="-0.14999847407452621"/>
  </sheetPr>
  <dimension ref="B1:X102"/>
  <sheetViews>
    <sheetView showGridLines="0" workbookViewId="0">
      <selection activeCell="J21" sqref="J21"/>
    </sheetView>
  </sheetViews>
  <sheetFormatPr defaultRowHeight="15.75"/>
  <cols>
    <col min="1" max="1" width="9" style="124"/>
    <col min="2" max="2" width="24.625" style="124" bestFit="1" customWidth="1"/>
    <col min="3" max="3" width="1.625" style="60" customWidth="1"/>
    <col min="4" max="4" width="4.25" style="60" customWidth="1"/>
    <col min="5" max="5" width="39" style="124" bestFit="1" customWidth="1"/>
    <col min="6" max="6" width="4.25" style="60" customWidth="1"/>
    <col min="7" max="7" width="53.125" style="124" customWidth="1"/>
    <col min="8" max="8" width="4.25" style="60" customWidth="1"/>
    <col min="9" max="9" width="96.75" style="124" customWidth="1"/>
    <col min="10" max="10" width="7.75" style="124" customWidth="1"/>
    <col min="11" max="11" width="4.25" style="124" customWidth="1"/>
    <col min="12" max="18" width="9" style="124"/>
    <col min="19" max="19" width="15.375" style="124" bestFit="1" customWidth="1"/>
    <col min="20" max="20" width="16.5" style="124" bestFit="1" customWidth="1"/>
    <col min="21" max="16384" width="9" style="124"/>
  </cols>
  <sheetData>
    <row r="1" spans="2:24">
      <c r="B1" s="124" t="s">
        <v>235</v>
      </c>
      <c r="E1" s="124" t="s">
        <v>236</v>
      </c>
      <c r="G1" s="124" t="s">
        <v>431</v>
      </c>
    </row>
    <row r="2" spans="2:24">
      <c r="L2" s="748" t="s">
        <v>393</v>
      </c>
      <c r="M2" s="522" t="s">
        <v>391</v>
      </c>
      <c r="N2" s="521"/>
      <c r="O2" s="521"/>
      <c r="P2" s="696"/>
      <c r="Q2" s="522" t="s">
        <v>392</v>
      </c>
      <c r="R2" s="696"/>
      <c r="S2" s="129" t="s">
        <v>394</v>
      </c>
      <c r="T2" s="128" t="s">
        <v>395</v>
      </c>
      <c r="U2" s="749" t="s">
        <v>478</v>
      </c>
      <c r="V2" s="750"/>
      <c r="W2" s="750"/>
      <c r="X2" s="750"/>
    </row>
    <row r="3" spans="2:24" ht="17.25">
      <c r="B3" s="62" t="s">
        <v>248</v>
      </c>
      <c r="E3" s="64" t="s">
        <v>413</v>
      </c>
      <c r="G3" s="135" t="s">
        <v>455</v>
      </c>
      <c r="J3" s="124" t="s">
        <v>479</v>
      </c>
      <c r="L3" s="748"/>
      <c r="M3" s="130"/>
      <c r="N3" s="131"/>
      <c r="O3" s="131"/>
      <c r="P3" s="132"/>
      <c r="Q3" s="131"/>
      <c r="R3" s="132"/>
      <c r="S3" s="77" t="s">
        <v>268</v>
      </c>
      <c r="T3" s="133" t="s">
        <v>269</v>
      </c>
      <c r="U3" s="524" t="s">
        <v>396</v>
      </c>
      <c r="V3" s="524"/>
      <c r="W3" s="524" t="s">
        <v>272</v>
      </c>
      <c r="X3" s="524"/>
    </row>
    <row r="4" spans="2:24">
      <c r="B4" s="65" t="s">
        <v>413</v>
      </c>
      <c r="E4" s="134" t="s">
        <v>421</v>
      </c>
      <c r="G4" s="65" t="s">
        <v>244</v>
      </c>
      <c r="I4" s="136" t="str">
        <f>G$3&amp;"_"&amp;G4</f>
        <v>金属製熱遮断構造_金属製高断熱フラッシュ構造_ドア内ガラスなし_－</v>
      </c>
      <c r="J4" s="144">
        <f>ROUND(U4,1)</f>
        <v>1.6</v>
      </c>
      <c r="L4" s="125"/>
      <c r="M4" s="745"/>
      <c r="N4" s="746"/>
      <c r="O4" s="747" t="s">
        <v>420</v>
      </c>
      <c r="P4" s="724"/>
      <c r="Q4" s="706" t="s">
        <v>299</v>
      </c>
      <c r="R4" s="707"/>
      <c r="S4" s="81" t="s">
        <v>299</v>
      </c>
      <c r="T4" s="84" t="s">
        <v>299</v>
      </c>
      <c r="U4" s="493">
        <v>1.6</v>
      </c>
      <c r="V4" s="494"/>
      <c r="W4" s="493">
        <v>1.38</v>
      </c>
      <c r="X4" s="695"/>
    </row>
    <row r="5" spans="2:24">
      <c r="B5" s="65" t="s">
        <v>414</v>
      </c>
      <c r="E5" s="134" t="s">
        <v>422</v>
      </c>
      <c r="I5" s="136" t="str">
        <f>G$6&amp;"_"&amp;G7</f>
        <v>金属製熱遮断構造_金属製高断熱フラッシュ構造_ドア内ガラスあり_Low-E二層複層ガラス_ガスの封入されている_7 ㎜以上</v>
      </c>
      <c r="J5" s="144">
        <f t="shared" ref="J5:J58" si="0">ROUND(U5,1)</f>
        <v>1.9</v>
      </c>
      <c r="L5" s="125"/>
      <c r="M5" s="504" t="s">
        <v>398</v>
      </c>
      <c r="N5" s="505"/>
      <c r="O5" s="708"/>
      <c r="P5" s="709"/>
      <c r="Q5" s="742"/>
      <c r="R5" s="743"/>
      <c r="S5" s="508" t="s">
        <v>276</v>
      </c>
      <c r="T5" s="84" t="s">
        <v>306</v>
      </c>
      <c r="U5" s="493">
        <v>1.9</v>
      </c>
      <c r="V5" s="494"/>
      <c r="W5" s="493">
        <v>1.6</v>
      </c>
      <c r="X5" s="695"/>
    </row>
    <row r="6" spans="2:24">
      <c r="B6" s="69" t="s">
        <v>415</v>
      </c>
      <c r="C6" s="63"/>
      <c r="D6" s="63"/>
      <c r="E6" s="134" t="s">
        <v>423</v>
      </c>
      <c r="F6" s="63"/>
      <c r="G6" s="64" t="s">
        <v>456</v>
      </c>
      <c r="H6" s="63"/>
      <c r="I6" s="136" t="str">
        <f>G$6&amp;"_"&amp;G8</f>
        <v>金属製熱遮断構造_金属製高断熱フラッシュ構造_ドア内ガラスあり_Low-E二層複層ガラス_ガスの封入されている_7 ㎜未満</v>
      </c>
      <c r="J6" s="144">
        <f t="shared" si="0"/>
        <v>2.2999999999999998</v>
      </c>
      <c r="L6" s="125"/>
      <c r="M6" s="504" t="s">
        <v>399</v>
      </c>
      <c r="N6" s="505"/>
      <c r="O6" s="736"/>
      <c r="P6" s="737"/>
      <c r="Q6" s="740" t="s">
        <v>400</v>
      </c>
      <c r="R6" s="741"/>
      <c r="S6" s="510"/>
      <c r="T6" s="84" t="s">
        <v>280</v>
      </c>
      <c r="U6" s="493">
        <v>2.33</v>
      </c>
      <c r="V6" s="494"/>
      <c r="W6" s="493">
        <v>1.89</v>
      </c>
      <c r="X6" s="695"/>
    </row>
    <row r="7" spans="2:24">
      <c r="C7" s="68"/>
      <c r="D7" s="68"/>
      <c r="E7" s="134" t="s">
        <v>424</v>
      </c>
      <c r="F7" s="68"/>
      <c r="G7" s="65" t="s">
        <v>432</v>
      </c>
      <c r="H7" s="68"/>
      <c r="I7" s="136" t="str">
        <f>G$6&amp;"_"&amp;G9</f>
        <v>金属製熱遮断構造_金属製高断熱フラッシュ構造_ドア内ガラスあり_Low-E二層複層ガラス_ガスの封入されていない_9 ㎜以上</v>
      </c>
      <c r="J7" s="144">
        <f t="shared" si="0"/>
        <v>1.9</v>
      </c>
      <c r="L7" s="125"/>
      <c r="M7" s="504" t="s">
        <v>401</v>
      </c>
      <c r="N7" s="505"/>
      <c r="O7" s="704" t="s">
        <v>402</v>
      </c>
      <c r="P7" s="705"/>
      <c r="Q7" s="740" t="s">
        <v>290</v>
      </c>
      <c r="R7" s="741"/>
      <c r="S7" s="508" t="s">
        <v>281</v>
      </c>
      <c r="T7" s="84" t="s">
        <v>308</v>
      </c>
      <c r="U7" s="493">
        <v>1.9</v>
      </c>
      <c r="V7" s="494"/>
      <c r="W7" s="493">
        <v>1.6</v>
      </c>
      <c r="X7" s="695"/>
    </row>
    <row r="8" spans="2:24">
      <c r="C8" s="68"/>
      <c r="D8" s="68"/>
      <c r="E8" s="134" t="s">
        <v>425</v>
      </c>
      <c r="F8" s="68"/>
      <c r="G8" s="65" t="s">
        <v>433</v>
      </c>
      <c r="H8" s="68"/>
      <c r="I8" s="136" t="str">
        <f>G$6&amp;"_"&amp;G10</f>
        <v>金属製熱遮断構造_金属製高断熱フラッシュ構造_ドア内ガラスあり_Low-E二層複層ガラス_ガスの封入されていない_9 ㎜未満</v>
      </c>
      <c r="J8" s="144">
        <f t="shared" si="0"/>
        <v>2.2999999999999998</v>
      </c>
      <c r="L8" s="125"/>
      <c r="M8" s="504" t="s">
        <v>403</v>
      </c>
      <c r="N8" s="505"/>
      <c r="O8" s="736"/>
      <c r="P8" s="737"/>
      <c r="Q8" s="738"/>
      <c r="R8" s="739"/>
      <c r="S8" s="510"/>
      <c r="T8" s="84" t="s">
        <v>304</v>
      </c>
      <c r="U8" s="493">
        <v>2.33</v>
      </c>
      <c r="V8" s="494"/>
      <c r="W8" s="493">
        <v>1.89</v>
      </c>
      <c r="X8" s="695"/>
    </row>
    <row r="9" spans="2:24">
      <c r="C9" s="71"/>
      <c r="D9" s="68"/>
      <c r="E9" s="134" t="s">
        <v>426</v>
      </c>
      <c r="F9" s="68"/>
      <c r="G9" s="65" t="s">
        <v>434</v>
      </c>
      <c r="H9" s="68"/>
      <c r="I9" s="136" t="str">
        <f>G$6&amp;"_"&amp;G11</f>
        <v>金属製熱遮断構造_金属製高断熱フラッシュ構造_ドア内ガラスあり_二層複層ガラス_ガスの封入されていない_中空層厚問わない</v>
      </c>
      <c r="J9" s="144">
        <f t="shared" si="0"/>
        <v>2.2999999999999998</v>
      </c>
      <c r="L9" s="125"/>
      <c r="M9" s="698"/>
      <c r="N9" s="699"/>
      <c r="O9" s="700"/>
      <c r="P9" s="701"/>
      <c r="Q9" s="490" t="s">
        <v>290</v>
      </c>
      <c r="R9" s="492"/>
      <c r="S9" s="81" t="s">
        <v>281</v>
      </c>
      <c r="T9" s="84" t="s">
        <v>404</v>
      </c>
      <c r="U9" s="493">
        <v>2.33</v>
      </c>
      <c r="V9" s="494"/>
      <c r="W9" s="493">
        <v>1.89</v>
      </c>
      <c r="X9" s="695"/>
    </row>
    <row r="10" spans="2:24">
      <c r="C10" s="71"/>
      <c r="D10" s="68"/>
      <c r="E10" s="134" t="s">
        <v>427</v>
      </c>
      <c r="F10" s="68"/>
      <c r="G10" s="65" t="s">
        <v>435</v>
      </c>
      <c r="H10" s="68"/>
      <c r="I10" s="124" t="str">
        <f>G$13&amp;"_"&amp;G14</f>
        <v>金属製熱遮断構造_金属製断熱フラッシュ構造_ドア内ガラスなし_－</v>
      </c>
      <c r="J10" s="145">
        <f t="shared" si="0"/>
        <v>1.9</v>
      </c>
      <c r="L10" s="125"/>
      <c r="M10" s="744" t="s">
        <v>416</v>
      </c>
      <c r="N10" s="503"/>
      <c r="O10" s="714" t="s">
        <v>397</v>
      </c>
      <c r="P10" s="715"/>
      <c r="Q10" s="490" t="s">
        <v>299</v>
      </c>
      <c r="R10" s="492"/>
      <c r="S10" s="81" t="s">
        <v>299</v>
      </c>
      <c r="T10" s="84" t="s">
        <v>299</v>
      </c>
      <c r="U10" s="493">
        <v>1.9</v>
      </c>
      <c r="V10" s="494"/>
      <c r="W10" s="493">
        <v>1.6</v>
      </c>
      <c r="X10" s="695"/>
    </row>
    <row r="11" spans="2:24">
      <c r="D11" s="68"/>
      <c r="E11" s="134" t="s">
        <v>428</v>
      </c>
      <c r="F11" s="68"/>
      <c r="G11" s="65" t="s">
        <v>436</v>
      </c>
      <c r="H11" s="68"/>
      <c r="I11" s="124" t="str">
        <f>G$16&amp;"_"&amp;G17</f>
        <v>金属製熱遮断構造_金属製断熱フラッシュ構造_ドア内ガラスあり_Low-E二層複層ガラス_ガスの封入されている_10 ㎜以上</v>
      </c>
      <c r="J11" s="145">
        <f t="shared" si="0"/>
        <v>2.2999999999999998</v>
      </c>
      <c r="L11" s="125"/>
      <c r="M11" s="504"/>
      <c r="N11" s="505"/>
      <c r="O11" s="708"/>
      <c r="P11" s="709"/>
      <c r="Q11" s="742"/>
      <c r="R11" s="743"/>
      <c r="S11" s="508" t="s">
        <v>276</v>
      </c>
      <c r="T11" s="84" t="s">
        <v>285</v>
      </c>
      <c r="U11" s="493">
        <v>2.33</v>
      </c>
      <c r="V11" s="494"/>
      <c r="W11" s="493">
        <v>1.89</v>
      </c>
      <c r="X11" s="695"/>
    </row>
    <row r="12" spans="2:24">
      <c r="D12" s="68"/>
      <c r="F12" s="68"/>
      <c r="H12" s="68"/>
      <c r="I12" s="124" t="str">
        <f>G$16&amp;"_"&amp;G18</f>
        <v>金属製熱遮断構造_金属製断熱フラッシュ構造_ドア内ガラスあり_Low-E二層複層ガラス_ガスの封入されている_10 ㎜未満</v>
      </c>
      <c r="J12" s="145">
        <f t="shared" si="0"/>
        <v>2.9</v>
      </c>
      <c r="L12" s="125"/>
      <c r="M12" s="504"/>
      <c r="N12" s="505"/>
      <c r="O12" s="736"/>
      <c r="P12" s="737"/>
      <c r="Q12" s="740" t="s">
        <v>400</v>
      </c>
      <c r="R12" s="741"/>
      <c r="S12" s="510"/>
      <c r="T12" s="84" t="s">
        <v>286</v>
      </c>
      <c r="U12" s="493">
        <v>2.91</v>
      </c>
      <c r="V12" s="494"/>
      <c r="W12" s="493">
        <v>2.2599999999999998</v>
      </c>
      <c r="X12" s="695"/>
    </row>
    <row r="13" spans="2:24">
      <c r="E13" s="64" t="s">
        <v>418</v>
      </c>
      <c r="G13" s="64" t="s">
        <v>457</v>
      </c>
      <c r="I13" s="124" t="str">
        <f>G$16&amp;"_"&amp;G19</f>
        <v>金属製熱遮断構造_金属製断熱フラッシュ構造_ドア内ガラスあり_Low-E二層複層ガラス_ガスの封入されていない_14 ㎜以上</v>
      </c>
      <c r="J13" s="145">
        <f t="shared" si="0"/>
        <v>2.2999999999999998</v>
      </c>
      <c r="L13" s="697" t="s">
        <v>412</v>
      </c>
      <c r="M13" s="504"/>
      <c r="N13" s="505"/>
      <c r="O13" s="704" t="s">
        <v>402</v>
      </c>
      <c r="P13" s="705"/>
      <c r="Q13" s="740" t="s">
        <v>290</v>
      </c>
      <c r="R13" s="741"/>
      <c r="S13" s="508" t="s">
        <v>281</v>
      </c>
      <c r="T13" s="84" t="s">
        <v>294</v>
      </c>
      <c r="U13" s="493">
        <v>2.33</v>
      </c>
      <c r="V13" s="494"/>
      <c r="W13" s="493">
        <v>1.89</v>
      </c>
      <c r="X13" s="695"/>
    </row>
    <row r="14" spans="2:24">
      <c r="E14" s="134" t="s">
        <v>421</v>
      </c>
      <c r="G14" s="65" t="s">
        <v>244</v>
      </c>
      <c r="I14" s="124" t="str">
        <f>G$16&amp;"_"&amp;G20</f>
        <v>金属製熱遮断構造_金属製断熱フラッシュ構造_ドア内ガラスあり_Low-E二層複層ガラス_ガスの封入されていない_14 ㎜未満</v>
      </c>
      <c r="J14" s="145">
        <f t="shared" si="0"/>
        <v>2.9</v>
      </c>
      <c r="L14" s="697"/>
      <c r="M14" s="504"/>
      <c r="N14" s="505"/>
      <c r="O14" s="736"/>
      <c r="P14" s="737"/>
      <c r="Q14" s="738"/>
      <c r="R14" s="739"/>
      <c r="S14" s="510"/>
      <c r="T14" s="84" t="s">
        <v>307</v>
      </c>
      <c r="U14" s="493">
        <v>2.91</v>
      </c>
      <c r="V14" s="494"/>
      <c r="W14" s="493">
        <v>2.2599999999999998</v>
      </c>
      <c r="X14" s="695"/>
    </row>
    <row r="15" spans="2:24">
      <c r="D15" s="68"/>
      <c r="E15" s="134" t="s">
        <v>422</v>
      </c>
      <c r="F15" s="68"/>
      <c r="H15" s="68"/>
      <c r="I15" s="124" t="str">
        <f>G$16&amp;"_"&amp;G21</f>
        <v>金属製熱遮断構造_金属製断熱フラッシュ構造_ドア内ガラスあり_二層複層ガラス_ガスの封入されていない_中空層厚問わない</v>
      </c>
      <c r="J15" s="145">
        <f t="shared" si="0"/>
        <v>2.9</v>
      </c>
      <c r="L15" s="125"/>
      <c r="M15" s="506"/>
      <c r="N15" s="507"/>
      <c r="O15" s="700"/>
      <c r="P15" s="701"/>
      <c r="Q15" s="490" t="s">
        <v>290</v>
      </c>
      <c r="R15" s="492"/>
      <c r="S15" s="81" t="s">
        <v>281</v>
      </c>
      <c r="T15" s="84" t="s">
        <v>404</v>
      </c>
      <c r="U15" s="493">
        <v>2.91</v>
      </c>
      <c r="V15" s="494"/>
      <c r="W15" s="493">
        <v>2.2599999999999998</v>
      </c>
      <c r="X15" s="695"/>
    </row>
    <row r="16" spans="2:24">
      <c r="D16" s="68"/>
      <c r="E16" s="134" t="s">
        <v>423</v>
      </c>
      <c r="F16" s="68"/>
      <c r="G16" s="64" t="s">
        <v>458</v>
      </c>
      <c r="H16" s="68"/>
      <c r="I16" s="136" t="str">
        <f>G$23&amp;"_"&amp;G24</f>
        <v>金属製熱遮断構造_金属製フラッシュ構造_ドア内ガラスなし_－</v>
      </c>
      <c r="J16" s="144">
        <f t="shared" si="0"/>
        <v>1.9</v>
      </c>
      <c r="L16" s="499"/>
      <c r="M16" s="744" t="s">
        <v>417</v>
      </c>
      <c r="N16" s="730"/>
      <c r="O16" s="714" t="s">
        <v>397</v>
      </c>
      <c r="P16" s="715"/>
      <c r="Q16" s="490" t="s">
        <v>299</v>
      </c>
      <c r="R16" s="492"/>
      <c r="S16" s="81" t="s">
        <v>299</v>
      </c>
      <c r="T16" s="84" t="s">
        <v>299</v>
      </c>
      <c r="U16" s="493">
        <v>1.9</v>
      </c>
      <c r="V16" s="494"/>
      <c r="W16" s="493">
        <v>1.6</v>
      </c>
      <c r="X16" s="695"/>
    </row>
    <row r="17" spans="3:24">
      <c r="D17" s="68"/>
      <c r="E17" s="134" t="s">
        <v>424</v>
      </c>
      <c r="F17" s="68"/>
      <c r="G17" s="65" t="s">
        <v>437</v>
      </c>
      <c r="H17" s="68"/>
      <c r="I17" s="136" t="str">
        <f>G$26&amp;"_"&amp;G27</f>
        <v>金属製熱遮断構造_金属製フラッシュ構造_ドア内ガラスあり_Low-E二層複層ガラス_ガスの封入されている_中空層厚問わない</v>
      </c>
      <c r="J17" s="144">
        <f t="shared" si="0"/>
        <v>2.9</v>
      </c>
      <c r="L17" s="499"/>
      <c r="M17" s="702"/>
      <c r="N17" s="703"/>
      <c r="O17" s="721" t="s">
        <v>402</v>
      </c>
      <c r="P17" s="722"/>
      <c r="Q17" s="725" t="s">
        <v>407</v>
      </c>
      <c r="R17" s="726"/>
      <c r="S17" s="81" t="s">
        <v>276</v>
      </c>
      <c r="T17" s="84" t="s">
        <v>404</v>
      </c>
      <c r="U17" s="493">
        <v>2.91</v>
      </c>
      <c r="V17" s="494"/>
      <c r="W17" s="493">
        <v>2.2599999999999998</v>
      </c>
      <c r="X17" s="695"/>
    </row>
    <row r="18" spans="3:24">
      <c r="D18" s="68"/>
      <c r="E18" s="134" t="s">
        <v>425</v>
      </c>
      <c r="F18" s="68"/>
      <c r="G18" s="65" t="s">
        <v>438</v>
      </c>
      <c r="H18" s="68"/>
      <c r="I18" s="136" t="str">
        <f>G$26&amp;"_"&amp;G28</f>
        <v>金属製熱遮断構造_金属製フラッシュ構造_ドア内ガラスあり_Low-E二層複層ガラス_ガスの封入されていない_中空層厚問わない</v>
      </c>
      <c r="J18" s="144">
        <f t="shared" si="0"/>
        <v>2.9</v>
      </c>
      <c r="L18" s="499"/>
      <c r="M18" s="702"/>
      <c r="N18" s="703"/>
      <c r="O18" s="704"/>
      <c r="P18" s="705"/>
      <c r="Q18" s="727"/>
      <c r="R18" s="728"/>
      <c r="S18" s="81" t="s">
        <v>281</v>
      </c>
      <c r="T18" s="84" t="s">
        <v>404</v>
      </c>
      <c r="U18" s="493">
        <v>2.91</v>
      </c>
      <c r="V18" s="494"/>
      <c r="W18" s="493">
        <v>2.2599999999999998</v>
      </c>
      <c r="X18" s="695"/>
    </row>
    <row r="19" spans="3:24">
      <c r="D19" s="68"/>
      <c r="E19" s="134" t="s">
        <v>426</v>
      </c>
      <c r="F19" s="68"/>
      <c r="G19" s="65" t="s">
        <v>439</v>
      </c>
      <c r="H19" s="68"/>
      <c r="I19" s="136" t="str">
        <f>G$26&amp;"_"&amp;G29</f>
        <v>金属製熱遮断構造_金属製フラッシュ構造_ドア内ガラスあり_二層複層ガラス_ガスの封入されていない_中空層厚問わない</v>
      </c>
      <c r="J19" s="144">
        <f t="shared" si="0"/>
        <v>2.9</v>
      </c>
      <c r="L19" s="499"/>
      <c r="M19" s="731"/>
      <c r="N19" s="732"/>
      <c r="O19" s="723"/>
      <c r="P19" s="724"/>
      <c r="Q19" s="490" t="s">
        <v>290</v>
      </c>
      <c r="R19" s="492"/>
      <c r="S19" s="81" t="s">
        <v>281</v>
      </c>
      <c r="T19" s="84" t="s">
        <v>404</v>
      </c>
      <c r="U19" s="493">
        <v>2.91</v>
      </c>
      <c r="V19" s="494"/>
      <c r="W19" s="493">
        <v>2.2599999999999998</v>
      </c>
      <c r="X19" s="695"/>
    </row>
    <row r="20" spans="3:24">
      <c r="D20" s="68"/>
      <c r="E20" s="134" t="s">
        <v>427</v>
      </c>
      <c r="F20" s="68"/>
      <c r="G20" s="65" t="s">
        <v>440</v>
      </c>
      <c r="H20" s="68"/>
      <c r="I20" s="124" t="str">
        <f>G$31&amp;"_"&amp;G32</f>
        <v>金属製熱遮断構造_金属製ハニカムフラッシュ構造_ドア内ガラスなし_－</v>
      </c>
      <c r="J20" s="145">
        <f t="shared" si="0"/>
        <v>2.9</v>
      </c>
      <c r="L20" s="125"/>
      <c r="M20" s="502" t="s">
        <v>398</v>
      </c>
      <c r="N20" s="503"/>
      <c r="O20" s="714" t="s">
        <v>397</v>
      </c>
      <c r="P20" s="715"/>
      <c r="Q20" s="490" t="s">
        <v>299</v>
      </c>
      <c r="R20" s="492"/>
      <c r="S20" s="81" t="s">
        <v>299</v>
      </c>
      <c r="T20" s="84" t="s">
        <v>299</v>
      </c>
      <c r="U20" s="493">
        <v>2.91</v>
      </c>
      <c r="V20" s="494"/>
      <c r="W20" s="493">
        <v>2.2599999999999998</v>
      </c>
      <c r="X20" s="695"/>
    </row>
    <row r="21" spans="3:24">
      <c r="E21" s="134" t="s">
        <v>428</v>
      </c>
      <c r="G21" s="65" t="s">
        <v>436</v>
      </c>
      <c r="I21" s="124" t="str">
        <f>G$34&amp;"_"&amp;G35</f>
        <v>金属製熱遮断構造_金属製ハニカムフラッシュ構造_ドア内ガラスあり_Low-E二層複層ガラス_ガスの封入されている_中空層厚問わない</v>
      </c>
      <c r="J21" s="145">
        <f t="shared" si="0"/>
        <v>3.5</v>
      </c>
      <c r="L21" s="125"/>
      <c r="M21" s="504" t="s">
        <v>408</v>
      </c>
      <c r="N21" s="505"/>
      <c r="O21" s="708"/>
      <c r="P21" s="709"/>
      <c r="Q21" s="710" t="s">
        <v>400</v>
      </c>
      <c r="R21" s="711"/>
      <c r="S21" s="81" t="s">
        <v>276</v>
      </c>
      <c r="T21" s="84" t="s">
        <v>404</v>
      </c>
      <c r="U21" s="493">
        <v>3.49</v>
      </c>
      <c r="V21" s="494"/>
      <c r="W21" s="493">
        <v>2.59</v>
      </c>
      <c r="X21" s="695"/>
    </row>
    <row r="22" spans="3:24">
      <c r="I22" s="124" t="str">
        <f>G$34&amp;"_"&amp;G36</f>
        <v>金属製熱遮断構造_金属製ハニカムフラッシュ構造_ドア内ガラスあり_Low-E二層複層ガラス_ガスの封入されていない_中空層厚問わない</v>
      </c>
      <c r="J22" s="145">
        <f t="shared" si="0"/>
        <v>3.5</v>
      </c>
      <c r="L22" s="125"/>
      <c r="M22" s="504" t="s">
        <v>401</v>
      </c>
      <c r="N22" s="505"/>
      <c r="O22" s="704" t="s">
        <v>402</v>
      </c>
      <c r="P22" s="705"/>
      <c r="Q22" s="706" t="s">
        <v>290</v>
      </c>
      <c r="R22" s="707"/>
      <c r="S22" s="81" t="s">
        <v>281</v>
      </c>
      <c r="T22" s="84" t="s">
        <v>404</v>
      </c>
      <c r="U22" s="493">
        <v>3.49</v>
      </c>
      <c r="V22" s="494"/>
      <c r="W22" s="493">
        <v>2.59</v>
      </c>
      <c r="X22" s="695"/>
    </row>
    <row r="23" spans="3:24">
      <c r="D23" s="68"/>
      <c r="E23" s="64" t="s">
        <v>419</v>
      </c>
      <c r="F23" s="68"/>
      <c r="G23" s="64" t="s">
        <v>459</v>
      </c>
      <c r="H23" s="68"/>
      <c r="I23" s="124" t="str">
        <f>G$34&amp;"_"&amp;G37</f>
        <v>金属製熱遮断構造_金属製ハニカムフラッシュ構造_ドア内ガラスあり_二層複層ガラス_ガスの封入されていない_中空層厚問わない</v>
      </c>
      <c r="J23" s="145">
        <f t="shared" si="0"/>
        <v>3.5</v>
      </c>
      <c r="L23" s="126"/>
      <c r="M23" s="506" t="s">
        <v>403</v>
      </c>
      <c r="N23" s="507"/>
      <c r="O23" s="700"/>
      <c r="P23" s="701"/>
      <c r="Q23" s="490" t="s">
        <v>290</v>
      </c>
      <c r="R23" s="492"/>
      <c r="S23" s="81" t="s">
        <v>281</v>
      </c>
      <c r="T23" s="84" t="s">
        <v>404</v>
      </c>
      <c r="U23" s="493">
        <v>3.49</v>
      </c>
      <c r="V23" s="494"/>
      <c r="W23" s="493">
        <v>2.59</v>
      </c>
      <c r="X23" s="695"/>
    </row>
    <row r="24" spans="3:24">
      <c r="D24" s="68"/>
      <c r="E24" s="134" t="s">
        <v>425</v>
      </c>
      <c r="F24" s="68"/>
      <c r="G24" s="65" t="s">
        <v>244</v>
      </c>
      <c r="H24" s="68"/>
      <c r="I24" s="136" t="str">
        <f>G$40&amp;"_"&amp;G41</f>
        <v>複合材料製_金属製高断熱フラッシュ構造_ドア内ガラスなし_－</v>
      </c>
      <c r="J24" s="144">
        <f t="shared" si="0"/>
        <v>1.6</v>
      </c>
      <c r="L24" s="127"/>
      <c r="M24" s="712"/>
      <c r="N24" s="713"/>
      <c r="O24" s="714" t="s">
        <v>397</v>
      </c>
      <c r="P24" s="715"/>
      <c r="Q24" s="490" t="s">
        <v>299</v>
      </c>
      <c r="R24" s="492"/>
      <c r="S24" s="81" t="s">
        <v>299</v>
      </c>
      <c r="T24" s="84" t="s">
        <v>299</v>
      </c>
      <c r="U24" s="493">
        <v>1.6</v>
      </c>
      <c r="V24" s="494"/>
      <c r="W24" s="493">
        <v>1.38</v>
      </c>
      <c r="X24" s="695"/>
    </row>
    <row r="25" spans="3:24">
      <c r="D25" s="68"/>
      <c r="E25" s="134" t="s">
        <v>426</v>
      </c>
      <c r="F25" s="68"/>
      <c r="H25" s="68"/>
      <c r="I25" s="136" t="str">
        <f>G$43&amp;"_"&amp;G44</f>
        <v>複合材料製_金属製高断熱フラッシュ構造_ドア内ガラスあり_Low-E二層複層ガラス_ガスの封入されている_8 ㎜以上</v>
      </c>
      <c r="J25" s="144">
        <f t="shared" si="0"/>
        <v>1.9</v>
      </c>
      <c r="L25" s="125"/>
      <c r="M25" s="504" t="s">
        <v>398</v>
      </c>
      <c r="N25" s="505"/>
      <c r="O25" s="708"/>
      <c r="P25" s="709"/>
      <c r="Q25" s="742"/>
      <c r="R25" s="743"/>
      <c r="S25" s="508" t="s">
        <v>276</v>
      </c>
      <c r="T25" s="84" t="s">
        <v>312</v>
      </c>
      <c r="U25" s="493">
        <v>1.9</v>
      </c>
      <c r="V25" s="494"/>
      <c r="W25" s="493">
        <v>1.6</v>
      </c>
      <c r="X25" s="695"/>
    </row>
    <row r="26" spans="3:24">
      <c r="E26" s="134" t="s">
        <v>427</v>
      </c>
      <c r="G26" s="64" t="s">
        <v>460</v>
      </c>
      <c r="I26" s="136" t="str">
        <f>G$43&amp;"_"&amp;G45</f>
        <v>複合材料製_金属製高断熱フラッシュ構造_ドア内ガラスあり_Low-E二層複層ガラス_ガスの封入されている_8 ㎜未満</v>
      </c>
      <c r="J26" s="144">
        <f t="shared" si="0"/>
        <v>2.2999999999999998</v>
      </c>
      <c r="L26" s="125"/>
      <c r="M26" s="504" t="s">
        <v>399</v>
      </c>
      <c r="N26" s="505"/>
      <c r="O26" s="736"/>
      <c r="P26" s="737"/>
      <c r="Q26" s="740" t="s">
        <v>400</v>
      </c>
      <c r="R26" s="741"/>
      <c r="S26" s="510"/>
      <c r="T26" s="84" t="s">
        <v>293</v>
      </c>
      <c r="U26" s="493">
        <v>2.33</v>
      </c>
      <c r="V26" s="494"/>
      <c r="W26" s="493">
        <v>1.89</v>
      </c>
      <c r="X26" s="695"/>
    </row>
    <row r="27" spans="3:24">
      <c r="E27" s="134" t="s">
        <v>428</v>
      </c>
      <c r="G27" s="65" t="s">
        <v>441</v>
      </c>
      <c r="I27" s="136" t="str">
        <f>G$43&amp;"_"&amp;G46</f>
        <v>複合材料製_金属製高断熱フラッシュ構造_ドア内ガラスあり_Low-E二層複層ガラス_ガスの封入されていない_10 ㎜以上</v>
      </c>
      <c r="J27" s="144">
        <f t="shared" si="0"/>
        <v>1.9</v>
      </c>
      <c r="L27" s="125"/>
      <c r="M27" s="504" t="s">
        <v>401</v>
      </c>
      <c r="N27" s="505"/>
      <c r="O27" s="704" t="s">
        <v>402</v>
      </c>
      <c r="P27" s="705"/>
      <c r="Q27" s="740" t="s">
        <v>290</v>
      </c>
      <c r="R27" s="741"/>
      <c r="S27" s="508" t="s">
        <v>281</v>
      </c>
      <c r="T27" s="84" t="s">
        <v>285</v>
      </c>
      <c r="U27" s="493">
        <v>1.9</v>
      </c>
      <c r="V27" s="494"/>
      <c r="W27" s="493">
        <v>1.6</v>
      </c>
      <c r="X27" s="695"/>
    </row>
    <row r="28" spans="3:24">
      <c r="E28" s="134" t="s">
        <v>429</v>
      </c>
      <c r="G28" s="65" t="s">
        <v>442</v>
      </c>
      <c r="I28" s="136" t="str">
        <f>G$43&amp;"_"&amp;G47</f>
        <v>複合材料製_金属製高断熱フラッシュ構造_ドア内ガラスあり_Low-E二層複層ガラス_ガスの封入されていない_10 ㎜未満</v>
      </c>
      <c r="J28" s="144">
        <f t="shared" si="0"/>
        <v>2.2999999999999998</v>
      </c>
      <c r="L28" s="125"/>
      <c r="M28" s="504" t="s">
        <v>403</v>
      </c>
      <c r="N28" s="505"/>
      <c r="O28" s="736"/>
      <c r="P28" s="737"/>
      <c r="Q28" s="738"/>
      <c r="R28" s="739"/>
      <c r="S28" s="510"/>
      <c r="T28" s="84" t="s">
        <v>286</v>
      </c>
      <c r="U28" s="493">
        <v>2.33</v>
      </c>
      <c r="V28" s="494"/>
      <c r="W28" s="493">
        <v>1.89</v>
      </c>
      <c r="X28" s="695"/>
    </row>
    <row r="29" spans="3:24">
      <c r="E29" s="134" t="s">
        <v>430</v>
      </c>
      <c r="G29" s="65" t="s">
        <v>436</v>
      </c>
      <c r="I29" s="136" t="str">
        <f>G$43&amp;"_"&amp;G48</f>
        <v>複合材料製_金属製高断熱フラッシュ構造_ドア内ガラスあり_二層複層ガラス_ガスの封入されていない_中空層厚問わない</v>
      </c>
      <c r="J29" s="144">
        <f t="shared" si="0"/>
        <v>2.2999999999999998</v>
      </c>
      <c r="L29" s="125"/>
      <c r="M29" s="698"/>
      <c r="N29" s="699"/>
      <c r="O29" s="700"/>
      <c r="P29" s="701"/>
      <c r="Q29" s="490" t="s">
        <v>290</v>
      </c>
      <c r="R29" s="492"/>
      <c r="S29" s="81" t="s">
        <v>281</v>
      </c>
      <c r="T29" s="84" t="s">
        <v>404</v>
      </c>
      <c r="U29" s="493">
        <v>2.33</v>
      </c>
      <c r="V29" s="494"/>
      <c r="W29" s="493">
        <v>1.89</v>
      </c>
      <c r="X29" s="695"/>
    </row>
    <row r="30" spans="3:24">
      <c r="I30" s="124" t="str">
        <f>G$50&amp;"_"&amp;G51</f>
        <v>複合材料製_金属製断熱フラッシュ構造_ドア内ガラスなし_－</v>
      </c>
      <c r="J30" s="145">
        <f t="shared" si="0"/>
        <v>1.9</v>
      </c>
      <c r="L30" s="125"/>
      <c r="M30" s="712"/>
      <c r="N30" s="713"/>
      <c r="O30" s="714" t="s">
        <v>397</v>
      </c>
      <c r="P30" s="715"/>
      <c r="Q30" s="490" t="s">
        <v>299</v>
      </c>
      <c r="R30" s="492"/>
      <c r="S30" s="81" t="s">
        <v>299</v>
      </c>
      <c r="T30" s="84" t="s">
        <v>299</v>
      </c>
      <c r="U30" s="493">
        <v>1.9</v>
      </c>
      <c r="V30" s="494"/>
      <c r="W30" s="493">
        <v>1.6</v>
      </c>
      <c r="X30" s="695"/>
    </row>
    <row r="31" spans="3:24">
      <c r="G31" s="64" t="s">
        <v>461</v>
      </c>
      <c r="I31" s="124" t="str">
        <f>G$53&amp;"_"&amp;G54</f>
        <v>複合材料製_金属製断熱フラッシュ構造_ドア内ガラスあり_Low-E二層複層ガラス_ガスの封入されている_11 ㎜以上</v>
      </c>
      <c r="J31" s="145">
        <f t="shared" si="0"/>
        <v>2.2999999999999998</v>
      </c>
      <c r="L31" s="733" t="s">
        <v>414</v>
      </c>
      <c r="M31" s="504" t="s">
        <v>405</v>
      </c>
      <c r="N31" s="505"/>
      <c r="O31" s="721" t="s">
        <v>402</v>
      </c>
      <c r="P31" s="722"/>
      <c r="Q31" s="725" t="s">
        <v>407</v>
      </c>
      <c r="R31" s="726"/>
      <c r="S31" s="508" t="s">
        <v>276</v>
      </c>
      <c r="T31" s="84" t="s">
        <v>309</v>
      </c>
      <c r="U31" s="493">
        <v>2.33</v>
      </c>
      <c r="V31" s="494"/>
      <c r="W31" s="493">
        <v>1.89</v>
      </c>
      <c r="X31" s="695"/>
    </row>
    <row r="32" spans="3:24">
      <c r="C32" s="63"/>
      <c r="D32" s="63"/>
      <c r="F32" s="63"/>
      <c r="G32" s="65" t="s">
        <v>244</v>
      </c>
      <c r="H32" s="63"/>
      <c r="I32" s="124" t="str">
        <f>G$53&amp;"_"&amp;G55</f>
        <v>複合材料製_金属製断熱フラッシュ構造_ドア内ガラスあり_Low-E二層複層ガラス_ガスの封入されている_11 ㎜未満</v>
      </c>
      <c r="J32" s="145">
        <f t="shared" si="0"/>
        <v>2.9</v>
      </c>
      <c r="L32" s="515"/>
      <c r="M32" s="504"/>
      <c r="N32" s="505"/>
      <c r="O32" s="704"/>
      <c r="P32" s="705"/>
      <c r="Q32" s="734"/>
      <c r="R32" s="735"/>
      <c r="S32" s="510"/>
      <c r="T32" s="84" t="s">
        <v>296</v>
      </c>
      <c r="U32" s="493">
        <v>2.91</v>
      </c>
      <c r="V32" s="494"/>
      <c r="W32" s="493">
        <v>2.2599999999999998</v>
      </c>
      <c r="X32" s="695"/>
    </row>
    <row r="33" spans="3:24">
      <c r="C33" s="68"/>
      <c r="D33" s="68"/>
      <c r="F33" s="68"/>
      <c r="H33" s="68"/>
      <c r="I33" s="124" t="str">
        <f>G$53&amp;"_"&amp;G56</f>
        <v>複合材料製_金属製断熱フラッシュ構造_ドア内ガラスあり_Low-E二層複層ガラス_ガスの封入されていない_15 ㎜以上</v>
      </c>
      <c r="J33" s="145">
        <f t="shared" si="0"/>
        <v>2.2999999999999998</v>
      </c>
      <c r="L33" s="515"/>
      <c r="M33" s="504"/>
      <c r="N33" s="505"/>
      <c r="O33" s="704"/>
      <c r="P33" s="705"/>
      <c r="Q33" s="734"/>
      <c r="R33" s="735"/>
      <c r="S33" s="508" t="s">
        <v>281</v>
      </c>
      <c r="T33" s="84" t="s">
        <v>409</v>
      </c>
      <c r="U33" s="493">
        <v>2.33</v>
      </c>
      <c r="V33" s="494"/>
      <c r="W33" s="493">
        <v>1.89</v>
      </c>
      <c r="X33" s="695"/>
    </row>
    <row r="34" spans="3:24">
      <c r="C34" s="68"/>
      <c r="D34" s="68"/>
      <c r="F34" s="68"/>
      <c r="G34" s="64" t="s">
        <v>462</v>
      </c>
      <c r="H34" s="68"/>
      <c r="I34" s="124" t="str">
        <f>G$53&amp;"_"&amp;G57</f>
        <v>複合材料製_金属製断熱フラッシュ構造_ドア内ガラスあり_Low-E二層複層ガラス_ガスの封入されていない_15 ㎜未満</v>
      </c>
      <c r="J34" s="145">
        <f t="shared" si="0"/>
        <v>2.9</v>
      </c>
      <c r="L34" s="515"/>
      <c r="M34" s="504"/>
      <c r="N34" s="505"/>
      <c r="O34" s="704"/>
      <c r="P34" s="705"/>
      <c r="Q34" s="727"/>
      <c r="R34" s="728"/>
      <c r="S34" s="510"/>
      <c r="T34" s="84" t="s">
        <v>410</v>
      </c>
      <c r="U34" s="493">
        <v>2.91</v>
      </c>
      <c r="V34" s="494"/>
      <c r="W34" s="493">
        <v>2.2599999999999998</v>
      </c>
      <c r="X34" s="695"/>
    </row>
    <row r="35" spans="3:24">
      <c r="C35" s="71"/>
      <c r="D35" s="71"/>
      <c r="F35" s="71"/>
      <c r="G35" s="65" t="s">
        <v>441</v>
      </c>
      <c r="H35" s="71"/>
      <c r="I35" s="124" t="str">
        <f>G$53&amp;"_"&amp;G58</f>
        <v>複合材料製_金属製断熱フラッシュ構造_ドア内ガラスあり_二層複層ガラス_ガスの封入されていない_中空層厚問わない</v>
      </c>
      <c r="J35" s="145">
        <f t="shared" si="0"/>
        <v>2.9</v>
      </c>
      <c r="L35" s="125"/>
      <c r="M35" s="698"/>
      <c r="N35" s="699"/>
      <c r="O35" s="700"/>
      <c r="P35" s="701"/>
      <c r="Q35" s="490" t="s">
        <v>290</v>
      </c>
      <c r="R35" s="492"/>
      <c r="S35" s="81" t="s">
        <v>281</v>
      </c>
      <c r="T35" s="84" t="s">
        <v>404</v>
      </c>
      <c r="U35" s="493">
        <v>2.91</v>
      </c>
      <c r="V35" s="494"/>
      <c r="W35" s="493">
        <v>2.2599999999999998</v>
      </c>
      <c r="X35" s="695"/>
    </row>
    <row r="36" spans="3:24">
      <c r="C36" s="71"/>
      <c r="D36" s="71"/>
      <c r="F36" s="71"/>
      <c r="G36" s="65" t="s">
        <v>442</v>
      </c>
      <c r="H36" s="71"/>
      <c r="I36" s="136" t="str">
        <f>G$60&amp;"_"&amp;G61</f>
        <v>複合材料製_金属製フラッシュ構造_ドア内ガラスなし_－</v>
      </c>
      <c r="J36" s="144">
        <f t="shared" si="0"/>
        <v>2.2999999999999998</v>
      </c>
      <c r="L36" s="499"/>
      <c r="M36" s="729" t="s">
        <v>406</v>
      </c>
      <c r="N36" s="730"/>
      <c r="O36" s="714" t="s">
        <v>397</v>
      </c>
      <c r="P36" s="715"/>
      <c r="Q36" s="490" t="s">
        <v>299</v>
      </c>
      <c r="R36" s="492"/>
      <c r="S36" s="81" t="s">
        <v>299</v>
      </c>
      <c r="T36" s="84" t="s">
        <v>299</v>
      </c>
      <c r="U36" s="493">
        <v>2.33</v>
      </c>
      <c r="V36" s="494"/>
      <c r="W36" s="493">
        <v>1.89</v>
      </c>
      <c r="X36" s="695"/>
    </row>
    <row r="37" spans="3:24">
      <c r="G37" s="65" t="s">
        <v>436</v>
      </c>
      <c r="I37" s="136" t="str">
        <f>G$63&amp;"_"&amp;G64</f>
        <v>複合材料製_金属製フラッシュ構造_ドア内ガラスあり_Low-E二層複層ガラス_ガスの封入されている_中空層厚問わない</v>
      </c>
      <c r="J37" s="144">
        <f t="shared" si="0"/>
        <v>2.9</v>
      </c>
      <c r="L37" s="499"/>
      <c r="M37" s="702"/>
      <c r="N37" s="703"/>
      <c r="O37" s="721" t="s">
        <v>402</v>
      </c>
      <c r="P37" s="722"/>
      <c r="Q37" s="725" t="s">
        <v>407</v>
      </c>
      <c r="R37" s="726"/>
      <c r="S37" s="81" t="s">
        <v>276</v>
      </c>
      <c r="T37" s="84" t="s">
        <v>404</v>
      </c>
      <c r="U37" s="493">
        <v>2.91</v>
      </c>
      <c r="V37" s="494"/>
      <c r="W37" s="493">
        <v>2.2599999999999998</v>
      </c>
      <c r="X37" s="695"/>
    </row>
    <row r="38" spans="3:24">
      <c r="I38" s="136" t="str">
        <f>G$63&amp;"_"&amp;G65</f>
        <v>複合材料製_金属製フラッシュ構造_ドア内ガラスあり_Low-E二層複層ガラス_ガスの封入されていない_中空層厚問わない</v>
      </c>
      <c r="J38" s="144">
        <f t="shared" si="0"/>
        <v>2.9</v>
      </c>
      <c r="L38" s="499"/>
      <c r="M38" s="702"/>
      <c r="N38" s="703"/>
      <c r="O38" s="704"/>
      <c r="P38" s="705"/>
      <c r="Q38" s="727"/>
      <c r="R38" s="728"/>
      <c r="S38" s="81" t="s">
        <v>281</v>
      </c>
      <c r="T38" s="84" t="s">
        <v>404</v>
      </c>
      <c r="U38" s="493">
        <v>2.91</v>
      </c>
      <c r="V38" s="494"/>
      <c r="W38" s="493">
        <v>2.2599999999999998</v>
      </c>
      <c r="X38" s="695"/>
    </row>
    <row r="39" spans="3:24">
      <c r="I39" s="136" t="str">
        <f>G$63&amp;"_"&amp;G66</f>
        <v>複合材料製_金属製フラッシュ構造_ドア内ガラスあり_二層複層ガラス_ガスの封入されていない_中空層厚問わない</v>
      </c>
      <c r="J39" s="144">
        <f t="shared" si="0"/>
        <v>2.9</v>
      </c>
      <c r="L39" s="499"/>
      <c r="M39" s="731"/>
      <c r="N39" s="732"/>
      <c r="O39" s="723"/>
      <c r="P39" s="724"/>
      <c r="Q39" s="490" t="s">
        <v>290</v>
      </c>
      <c r="R39" s="492"/>
      <c r="S39" s="81" t="s">
        <v>281</v>
      </c>
      <c r="T39" s="84" t="s">
        <v>404</v>
      </c>
      <c r="U39" s="493">
        <v>2.91</v>
      </c>
      <c r="V39" s="494"/>
      <c r="W39" s="493">
        <v>2.2599999999999998</v>
      </c>
      <c r="X39" s="695"/>
    </row>
    <row r="40" spans="3:24">
      <c r="G40" s="135" t="s">
        <v>463</v>
      </c>
      <c r="I40" s="124" t="str">
        <f>G$68&amp;"_"&amp;G69</f>
        <v>複合材料製_金属製ハニカムフラッシュ構造_ドア内ガラスなし_－</v>
      </c>
      <c r="J40" s="145">
        <f t="shared" si="0"/>
        <v>2.9</v>
      </c>
      <c r="L40" s="125"/>
      <c r="M40" s="502" t="s">
        <v>398</v>
      </c>
      <c r="N40" s="503"/>
      <c r="O40" s="714" t="s">
        <v>397</v>
      </c>
      <c r="P40" s="715"/>
      <c r="Q40" s="490" t="s">
        <v>299</v>
      </c>
      <c r="R40" s="492"/>
      <c r="S40" s="81" t="s">
        <v>299</v>
      </c>
      <c r="T40" s="84" t="s">
        <v>299</v>
      </c>
      <c r="U40" s="493">
        <v>2.91</v>
      </c>
      <c r="V40" s="494"/>
      <c r="W40" s="493">
        <v>2.2599999999999998</v>
      </c>
      <c r="X40" s="695"/>
    </row>
    <row r="41" spans="3:24">
      <c r="G41" s="65" t="s">
        <v>244</v>
      </c>
      <c r="I41" s="124" t="str">
        <f>G$71&amp;"_"&amp;G72</f>
        <v>複合材料製_金属製ハニカムフラッシュ構造_ドア内ガラスあり_Low-E二層複層ガラス_ガスの封入されている_中空層厚問わない</v>
      </c>
      <c r="J41" s="145">
        <f t="shared" si="0"/>
        <v>3.5</v>
      </c>
      <c r="L41" s="125"/>
      <c r="M41" s="504" t="s">
        <v>408</v>
      </c>
      <c r="N41" s="505"/>
      <c r="O41" s="708"/>
      <c r="P41" s="709"/>
      <c r="Q41" s="710" t="s">
        <v>400</v>
      </c>
      <c r="R41" s="711"/>
      <c r="S41" s="81" t="s">
        <v>276</v>
      </c>
      <c r="T41" s="84" t="s">
        <v>404</v>
      </c>
      <c r="U41" s="493">
        <v>3.49</v>
      </c>
      <c r="V41" s="494"/>
      <c r="W41" s="493">
        <v>2.59</v>
      </c>
      <c r="X41" s="695"/>
    </row>
    <row r="42" spans="3:24">
      <c r="I42" s="124" t="str">
        <f>G$71&amp;"_"&amp;G73</f>
        <v>複合材料製_金属製ハニカムフラッシュ構造_ドア内ガラスあり_Low-E二層複層ガラス_ガスの封入されていない_中空層厚問わない</v>
      </c>
      <c r="J42" s="145">
        <f t="shared" si="0"/>
        <v>3.5</v>
      </c>
      <c r="L42" s="125"/>
      <c r="M42" s="504" t="s">
        <v>401</v>
      </c>
      <c r="N42" s="505"/>
      <c r="O42" s="704" t="s">
        <v>402</v>
      </c>
      <c r="P42" s="705"/>
      <c r="Q42" s="706" t="s">
        <v>290</v>
      </c>
      <c r="R42" s="707"/>
      <c r="S42" s="81" t="s">
        <v>281</v>
      </c>
      <c r="T42" s="84" t="s">
        <v>404</v>
      </c>
      <c r="U42" s="493">
        <v>3.49</v>
      </c>
      <c r="V42" s="494"/>
      <c r="W42" s="493">
        <v>2.59</v>
      </c>
      <c r="X42" s="695"/>
    </row>
    <row r="43" spans="3:24">
      <c r="G43" s="64" t="s">
        <v>464</v>
      </c>
      <c r="I43" s="124" t="str">
        <f>G$71&amp;"_"&amp;G74</f>
        <v>複合材料製_金属製ハニカムフラッシュ構造_ドア内ガラスあり_二層複層ガラス_ガスの封入されていない_中空層厚問わない</v>
      </c>
      <c r="J43" s="145">
        <f t="shared" si="0"/>
        <v>3.5</v>
      </c>
      <c r="L43" s="126"/>
      <c r="M43" s="506" t="s">
        <v>403</v>
      </c>
      <c r="N43" s="507"/>
      <c r="O43" s="700"/>
      <c r="P43" s="701"/>
      <c r="Q43" s="490" t="s">
        <v>290</v>
      </c>
      <c r="R43" s="492"/>
      <c r="S43" s="81" t="s">
        <v>281</v>
      </c>
      <c r="T43" s="84" t="s">
        <v>404</v>
      </c>
      <c r="U43" s="493">
        <v>3.49</v>
      </c>
      <c r="V43" s="494"/>
      <c r="W43" s="493">
        <v>2.59</v>
      </c>
      <c r="X43" s="695"/>
    </row>
    <row r="44" spans="3:24">
      <c r="G44" s="65" t="s">
        <v>443</v>
      </c>
      <c r="I44" s="136" t="str">
        <f>G$77&amp;"_"&amp;G78</f>
        <v>金属製又はその他_金属製フラッシュ構造_ドア内ガラスなし_－</v>
      </c>
      <c r="J44" s="144">
        <f t="shared" si="0"/>
        <v>2.2999999999999998</v>
      </c>
      <c r="L44" s="497"/>
      <c r="M44" s="729" t="s">
        <v>406</v>
      </c>
      <c r="N44" s="730"/>
      <c r="O44" s="714" t="s">
        <v>397</v>
      </c>
      <c r="P44" s="715"/>
      <c r="Q44" s="490" t="s">
        <v>299</v>
      </c>
      <c r="R44" s="492"/>
      <c r="S44" s="81" t="s">
        <v>299</v>
      </c>
      <c r="T44" s="84" t="s">
        <v>299</v>
      </c>
      <c r="U44" s="493">
        <v>2.33</v>
      </c>
      <c r="V44" s="494"/>
      <c r="W44" s="493">
        <v>1.89</v>
      </c>
      <c r="X44" s="695"/>
    </row>
    <row r="45" spans="3:24">
      <c r="G45" s="65" t="s">
        <v>444</v>
      </c>
      <c r="I45" s="136" t="str">
        <f>G$80&amp;"_"&amp;G81</f>
        <v>金属製又はその他_金属製フラッシュ構造_ドア内ガラスあり_Low-E二層複層ガラス_ガスの封入されている_中空層厚問わない</v>
      </c>
      <c r="J45" s="144">
        <f t="shared" si="0"/>
        <v>2.9</v>
      </c>
      <c r="L45" s="499"/>
      <c r="M45" s="702"/>
      <c r="N45" s="703"/>
      <c r="O45" s="721" t="s">
        <v>402</v>
      </c>
      <c r="P45" s="722"/>
      <c r="Q45" s="725" t="s">
        <v>407</v>
      </c>
      <c r="R45" s="726"/>
      <c r="S45" s="81" t="s">
        <v>276</v>
      </c>
      <c r="T45" s="84" t="s">
        <v>404</v>
      </c>
      <c r="U45" s="493">
        <v>2.91</v>
      </c>
      <c r="V45" s="494"/>
      <c r="W45" s="493">
        <v>2.2599999999999998</v>
      </c>
      <c r="X45" s="695"/>
    </row>
    <row r="46" spans="3:24">
      <c r="G46" s="65" t="s">
        <v>445</v>
      </c>
      <c r="I46" s="136" t="str">
        <f>G$80&amp;"_"&amp;G82</f>
        <v>金属製又はその他_金属製フラッシュ構造_ドア内ガラスあり_Low-E二層複層ガラス_ガスの封入されていない_中空層厚問わない</v>
      </c>
      <c r="J46" s="144">
        <f t="shared" si="0"/>
        <v>2.9</v>
      </c>
      <c r="L46" s="499"/>
      <c r="M46" s="702"/>
      <c r="N46" s="703"/>
      <c r="O46" s="704"/>
      <c r="P46" s="705"/>
      <c r="Q46" s="727"/>
      <c r="R46" s="728"/>
      <c r="S46" s="81" t="s">
        <v>281</v>
      </c>
      <c r="T46" s="84" t="s">
        <v>404</v>
      </c>
      <c r="U46" s="493">
        <v>2.91</v>
      </c>
      <c r="V46" s="494"/>
      <c r="W46" s="493">
        <v>2.2599999999999998</v>
      </c>
      <c r="X46" s="695"/>
    </row>
    <row r="47" spans="3:24">
      <c r="G47" s="65" t="s">
        <v>446</v>
      </c>
      <c r="I47" s="136" t="str">
        <f>G$80&amp;"_"&amp;G83</f>
        <v>金属製又はその他_金属製フラッシュ構造_ドア内ガラスあり_二層複層ガラス_ガスの封入されていない_中空層厚問わない</v>
      </c>
      <c r="J47" s="144">
        <f t="shared" si="0"/>
        <v>2.9</v>
      </c>
      <c r="L47" s="499"/>
      <c r="M47" s="731"/>
      <c r="N47" s="732"/>
      <c r="O47" s="723"/>
      <c r="P47" s="724"/>
      <c r="Q47" s="490" t="s">
        <v>290</v>
      </c>
      <c r="R47" s="492"/>
      <c r="S47" s="81" t="s">
        <v>281</v>
      </c>
      <c r="T47" s="84" t="s">
        <v>404</v>
      </c>
      <c r="U47" s="493">
        <v>2.91</v>
      </c>
      <c r="V47" s="494"/>
      <c r="W47" s="493">
        <v>2.2599999999999998</v>
      </c>
      <c r="X47" s="695"/>
    </row>
    <row r="48" spans="3:24">
      <c r="G48" s="65" t="s">
        <v>436</v>
      </c>
      <c r="I48" s="124" t="str">
        <f>G$85&amp;"_"&amp;G86</f>
        <v>金属製又はその他_金属製ハニカムフラッシュ構造_ドア内ガラスなし_－</v>
      </c>
      <c r="J48" s="145">
        <f t="shared" si="0"/>
        <v>2.9</v>
      </c>
      <c r="L48" s="125"/>
      <c r="M48" s="712"/>
      <c r="N48" s="713"/>
      <c r="O48" s="714" t="s">
        <v>397</v>
      </c>
      <c r="P48" s="715"/>
      <c r="Q48" s="490" t="s">
        <v>299</v>
      </c>
      <c r="R48" s="492"/>
      <c r="S48" s="81" t="s">
        <v>299</v>
      </c>
      <c r="T48" s="84" t="s">
        <v>299</v>
      </c>
      <c r="U48" s="493">
        <v>2.91</v>
      </c>
      <c r="V48" s="494"/>
      <c r="W48" s="493">
        <v>2.2599999999999998</v>
      </c>
      <c r="X48" s="695"/>
    </row>
    <row r="49" spans="7:24">
      <c r="I49" s="124" t="str">
        <f>G$88&amp;"_"&amp;G89</f>
        <v>金属製又はその他_金属製ハニカムフラッシュ構造_ドア内ガラスあり_Low-E二層複層ガラス_ガスの封入されている_中空層厚問わない</v>
      </c>
      <c r="J49" s="145">
        <f t="shared" si="0"/>
        <v>3.5</v>
      </c>
      <c r="L49" s="125"/>
      <c r="M49" s="504" t="s">
        <v>398</v>
      </c>
      <c r="N49" s="505"/>
      <c r="O49" s="708"/>
      <c r="P49" s="709"/>
      <c r="Q49" s="710" t="s">
        <v>400</v>
      </c>
      <c r="R49" s="711"/>
      <c r="S49" s="81" t="s">
        <v>276</v>
      </c>
      <c r="T49" s="84" t="s">
        <v>404</v>
      </c>
      <c r="U49" s="493">
        <v>3.49</v>
      </c>
      <c r="V49" s="494"/>
      <c r="W49" s="493">
        <v>2.59</v>
      </c>
      <c r="X49" s="695"/>
    </row>
    <row r="50" spans="7:24" ht="15.75" customHeight="1">
      <c r="G50" s="64" t="s">
        <v>465</v>
      </c>
      <c r="I50" s="124" t="str">
        <f>G$88&amp;"_"&amp;G90</f>
        <v>金属製又はその他_金属製ハニカムフラッシュ構造_ドア内ガラスあり_Low-E二層複層ガラス_ガスの封入されていない_中空層厚問わない</v>
      </c>
      <c r="J50" s="145">
        <f t="shared" si="0"/>
        <v>3.5</v>
      </c>
      <c r="L50" s="718" t="s">
        <v>415</v>
      </c>
      <c r="M50" s="719" t="s">
        <v>477</v>
      </c>
      <c r="N50" s="138"/>
      <c r="O50" s="704" t="s">
        <v>402</v>
      </c>
      <c r="P50" s="705"/>
      <c r="Q50" s="706" t="s">
        <v>290</v>
      </c>
      <c r="R50" s="707"/>
      <c r="S50" s="81" t="s">
        <v>281</v>
      </c>
      <c r="T50" s="84" t="s">
        <v>404</v>
      </c>
      <c r="U50" s="493">
        <v>3.49</v>
      </c>
      <c r="V50" s="494"/>
      <c r="W50" s="493">
        <v>2.59</v>
      </c>
      <c r="X50" s="695"/>
    </row>
    <row r="51" spans="7:24" ht="15.75" customHeight="1">
      <c r="G51" s="65" t="s">
        <v>244</v>
      </c>
      <c r="I51" s="124" t="str">
        <f>G$88&amp;"_"&amp;G91</f>
        <v>金属製又はその他_金属製ハニカムフラッシュ構造_ドア内ガラスあり_二層複層ガラス_ガスの封入されていない_8 ㎜以上</v>
      </c>
      <c r="J51" s="145">
        <f t="shared" si="0"/>
        <v>3.5</v>
      </c>
      <c r="L51" s="718"/>
      <c r="M51" s="719"/>
      <c r="N51" s="138"/>
      <c r="O51" s="140"/>
      <c r="P51" s="141"/>
      <c r="Q51" s="142" t="s">
        <v>290</v>
      </c>
      <c r="R51" s="143"/>
      <c r="S51" s="113" t="s">
        <v>281</v>
      </c>
      <c r="T51" s="137" t="s">
        <v>312</v>
      </c>
      <c r="U51" s="716">
        <v>3.49</v>
      </c>
      <c r="V51" s="717"/>
      <c r="W51" s="716">
        <v>2.59</v>
      </c>
      <c r="X51" s="720"/>
    </row>
    <row r="52" spans="7:24">
      <c r="I52" s="124" t="str">
        <f>G$88&amp;"_"&amp;G92</f>
        <v>金属製又はその他_金属製ハニカムフラッシュ構造_ドア内ガラスあり_二層複層ガラス_ガスの封入されていない_8 ㎜未満</v>
      </c>
      <c r="J52" s="145">
        <f t="shared" si="0"/>
        <v>4.0999999999999996</v>
      </c>
      <c r="L52" s="139"/>
      <c r="M52" s="719"/>
      <c r="N52" s="138"/>
      <c r="O52" s="140"/>
      <c r="P52" s="141"/>
      <c r="Q52" s="140"/>
      <c r="R52" s="141"/>
      <c r="S52" s="115"/>
      <c r="T52" s="137" t="s">
        <v>293</v>
      </c>
      <c r="U52" s="716">
        <v>4.07</v>
      </c>
      <c r="V52" s="717"/>
      <c r="W52" s="716">
        <v>2.9</v>
      </c>
      <c r="X52" s="720"/>
    </row>
    <row r="53" spans="7:24">
      <c r="G53" s="64" t="s">
        <v>466</v>
      </c>
      <c r="I53" s="124" t="str">
        <f>G$88&amp;"_"&amp;G93</f>
        <v>金属製又はその他_金属製ハニカムフラッシュ構造_ドア内ガラスあり_単板ガラス_－</v>
      </c>
      <c r="J53" s="145">
        <f t="shared" si="0"/>
        <v>4.0999999999999996</v>
      </c>
      <c r="L53" s="125"/>
      <c r="M53" s="698"/>
      <c r="N53" s="699"/>
      <c r="O53" s="700"/>
      <c r="P53" s="701"/>
      <c r="Q53" s="490" t="s">
        <v>298</v>
      </c>
      <c r="R53" s="492"/>
      <c r="S53" s="81" t="s">
        <v>299</v>
      </c>
      <c r="T53" s="84" t="s">
        <v>299</v>
      </c>
      <c r="U53" s="493">
        <v>4.07</v>
      </c>
      <c r="V53" s="494"/>
      <c r="W53" s="493">
        <v>2.9</v>
      </c>
      <c r="X53" s="695"/>
    </row>
    <row r="54" spans="7:24">
      <c r="G54" s="65" t="s">
        <v>447</v>
      </c>
      <c r="I54" s="136" t="str">
        <f>G$95&amp;"_"&amp;G96</f>
        <v>金属製又はその他_金属製又はその他_ドア内ガラスなし_－</v>
      </c>
      <c r="J54" s="144">
        <f t="shared" si="0"/>
        <v>6.5</v>
      </c>
      <c r="L54" s="125"/>
      <c r="M54" s="712"/>
      <c r="N54" s="713"/>
      <c r="O54" s="714" t="s">
        <v>397</v>
      </c>
      <c r="P54" s="715"/>
      <c r="Q54" s="490" t="s">
        <v>299</v>
      </c>
      <c r="R54" s="492"/>
      <c r="S54" s="81" t="s">
        <v>299</v>
      </c>
      <c r="T54" s="84" t="s">
        <v>299</v>
      </c>
      <c r="U54" s="493">
        <v>6.51</v>
      </c>
      <c r="V54" s="494"/>
      <c r="W54" s="493">
        <v>3.95</v>
      </c>
      <c r="X54" s="695"/>
    </row>
    <row r="55" spans="7:24">
      <c r="G55" s="65" t="s">
        <v>448</v>
      </c>
      <c r="I55" s="136" t="str">
        <f>G$98&amp;"_"&amp;G99</f>
        <v>金属製又はその他_金属製又はその他_ドア内ガラスあり_Low-E二層複層ガラス_ガスの封入されている_中空層厚問わない</v>
      </c>
      <c r="J55" s="144">
        <f t="shared" si="0"/>
        <v>6.5</v>
      </c>
      <c r="L55" s="125"/>
      <c r="M55" s="504" t="s">
        <v>398</v>
      </c>
      <c r="N55" s="505"/>
      <c r="O55" s="708"/>
      <c r="P55" s="709"/>
      <c r="Q55" s="710" t="s">
        <v>400</v>
      </c>
      <c r="R55" s="711"/>
      <c r="S55" s="81" t="s">
        <v>276</v>
      </c>
      <c r="T55" s="84" t="s">
        <v>404</v>
      </c>
      <c r="U55" s="493">
        <v>6.51</v>
      </c>
      <c r="V55" s="494"/>
      <c r="W55" s="493">
        <v>3.95</v>
      </c>
      <c r="X55" s="695"/>
    </row>
    <row r="56" spans="7:24">
      <c r="G56" s="65" t="s">
        <v>449</v>
      </c>
      <c r="I56" s="136" t="str">
        <f>G$98&amp;"_"&amp;G100</f>
        <v>金属製又はその他_金属製又はその他_ドア内ガラスあり_Low-E二層複層ガラス_ガスの封入されていない_中空層厚問わない</v>
      </c>
      <c r="J56" s="144">
        <f t="shared" si="0"/>
        <v>6.5</v>
      </c>
      <c r="L56" s="499"/>
      <c r="M56" s="702" t="s">
        <v>411</v>
      </c>
      <c r="N56" s="703"/>
      <c r="O56" s="704" t="s">
        <v>402</v>
      </c>
      <c r="P56" s="705"/>
      <c r="Q56" s="706" t="s">
        <v>290</v>
      </c>
      <c r="R56" s="707"/>
      <c r="S56" s="81" t="s">
        <v>281</v>
      </c>
      <c r="T56" s="84" t="s">
        <v>404</v>
      </c>
      <c r="U56" s="493">
        <v>6.51</v>
      </c>
      <c r="V56" s="494"/>
      <c r="W56" s="493">
        <v>3.95</v>
      </c>
      <c r="X56" s="695"/>
    </row>
    <row r="57" spans="7:24">
      <c r="G57" s="65" t="s">
        <v>450</v>
      </c>
      <c r="I57" s="136" t="str">
        <f>G$98&amp;"_"&amp;G101</f>
        <v>金属製又はその他_金属製又はその他_ドア内ガラスあり_二層複層ガラス_ガスの封入されていない_中空層厚問わない</v>
      </c>
      <c r="J57" s="144">
        <f t="shared" si="0"/>
        <v>6.5</v>
      </c>
      <c r="L57" s="499"/>
      <c r="M57" s="702"/>
      <c r="N57" s="703"/>
      <c r="O57" s="704"/>
      <c r="P57" s="705"/>
      <c r="Q57" s="490" t="s">
        <v>290</v>
      </c>
      <c r="R57" s="492"/>
      <c r="S57" s="81" t="s">
        <v>281</v>
      </c>
      <c r="T57" s="84" t="s">
        <v>404</v>
      </c>
      <c r="U57" s="493">
        <v>6.51</v>
      </c>
      <c r="V57" s="494"/>
      <c r="W57" s="493">
        <v>3.95</v>
      </c>
      <c r="X57" s="695"/>
    </row>
    <row r="58" spans="7:24">
      <c r="G58" s="65" t="s">
        <v>436</v>
      </c>
      <c r="I58" s="136" t="str">
        <f>G$98&amp;"_"&amp;G102</f>
        <v>金属製又はその他_金属製又はその他_ドア内ガラスあり_単板ガラス_－</v>
      </c>
      <c r="J58" s="144">
        <f t="shared" si="0"/>
        <v>6.5</v>
      </c>
      <c r="L58" s="126"/>
      <c r="M58" s="698"/>
      <c r="N58" s="699"/>
      <c r="O58" s="700"/>
      <c r="P58" s="701"/>
      <c r="Q58" s="490" t="s">
        <v>298</v>
      </c>
      <c r="R58" s="492"/>
      <c r="S58" s="81" t="s">
        <v>299</v>
      </c>
      <c r="T58" s="84" t="s">
        <v>299</v>
      </c>
      <c r="U58" s="493">
        <v>6.51</v>
      </c>
      <c r="V58" s="494"/>
      <c r="W58" s="493">
        <v>3.95</v>
      </c>
      <c r="X58" s="695"/>
    </row>
    <row r="60" spans="7:24">
      <c r="G60" s="64" t="s">
        <v>467</v>
      </c>
    </row>
    <row r="61" spans="7:24">
      <c r="G61" s="65" t="s">
        <v>244</v>
      </c>
    </row>
    <row r="63" spans="7:24">
      <c r="G63" s="64" t="s">
        <v>468</v>
      </c>
    </row>
    <row r="64" spans="7:24">
      <c r="G64" s="65" t="s">
        <v>441</v>
      </c>
    </row>
    <row r="65" spans="7:7">
      <c r="G65" s="65" t="s">
        <v>442</v>
      </c>
    </row>
    <row r="66" spans="7:7">
      <c r="G66" s="65" t="s">
        <v>436</v>
      </c>
    </row>
    <row r="68" spans="7:7">
      <c r="G68" s="64" t="s">
        <v>469</v>
      </c>
    </row>
    <row r="69" spans="7:7">
      <c r="G69" s="65" t="s">
        <v>244</v>
      </c>
    </row>
    <row r="71" spans="7:7">
      <c r="G71" s="64" t="s">
        <v>470</v>
      </c>
    </row>
    <row r="72" spans="7:7">
      <c r="G72" s="65" t="s">
        <v>441</v>
      </c>
    </row>
    <row r="73" spans="7:7">
      <c r="G73" s="65" t="s">
        <v>442</v>
      </c>
    </row>
    <row r="74" spans="7:7">
      <c r="G74" s="65" t="s">
        <v>436</v>
      </c>
    </row>
    <row r="77" spans="7:7">
      <c r="G77" s="135" t="s">
        <v>471</v>
      </c>
    </row>
    <row r="78" spans="7:7">
      <c r="G78" s="65" t="s">
        <v>244</v>
      </c>
    </row>
    <row r="80" spans="7:7">
      <c r="G80" s="64" t="s">
        <v>472</v>
      </c>
    </row>
    <row r="81" spans="7:7">
      <c r="G81" s="65" t="s">
        <v>441</v>
      </c>
    </row>
    <row r="82" spans="7:7">
      <c r="G82" s="65" t="s">
        <v>442</v>
      </c>
    </row>
    <row r="83" spans="7:7">
      <c r="G83" s="65" t="s">
        <v>436</v>
      </c>
    </row>
    <row r="85" spans="7:7">
      <c r="G85" s="64" t="s">
        <v>473</v>
      </c>
    </row>
    <row r="86" spans="7:7">
      <c r="G86" s="65" t="s">
        <v>244</v>
      </c>
    </row>
    <row r="88" spans="7:7">
      <c r="G88" s="64" t="s">
        <v>474</v>
      </c>
    </row>
    <row r="89" spans="7:7">
      <c r="G89" s="65" t="s">
        <v>441</v>
      </c>
    </row>
    <row r="90" spans="7:7">
      <c r="G90" s="65" t="s">
        <v>442</v>
      </c>
    </row>
    <row r="91" spans="7:7">
      <c r="G91" s="65" t="s">
        <v>451</v>
      </c>
    </row>
    <row r="92" spans="7:7">
      <c r="G92" s="65" t="s">
        <v>452</v>
      </c>
    </row>
    <row r="93" spans="7:7">
      <c r="G93" s="65" t="s">
        <v>453</v>
      </c>
    </row>
    <row r="95" spans="7:7">
      <c r="G95" s="64" t="s">
        <v>475</v>
      </c>
    </row>
    <row r="96" spans="7:7">
      <c r="G96" s="65" t="s">
        <v>244</v>
      </c>
    </row>
    <row r="98" spans="7:7">
      <c r="G98" s="64" t="s">
        <v>476</v>
      </c>
    </row>
    <row r="99" spans="7:7">
      <c r="G99" s="65" t="s">
        <v>441</v>
      </c>
    </row>
    <row r="100" spans="7:7">
      <c r="G100" s="65" t="s">
        <v>442</v>
      </c>
    </row>
    <row r="101" spans="7:7">
      <c r="G101" s="65" t="s">
        <v>436</v>
      </c>
    </row>
    <row r="102" spans="7:7">
      <c r="G102" s="65" t="s">
        <v>453</v>
      </c>
    </row>
  </sheetData>
  <mergeCells count="256">
    <mergeCell ref="M4:N4"/>
    <mergeCell ref="O4:P4"/>
    <mergeCell ref="Q4:R4"/>
    <mergeCell ref="U4:V4"/>
    <mergeCell ref="W4:X4"/>
    <mergeCell ref="L2:L3"/>
    <mergeCell ref="U2:X2"/>
    <mergeCell ref="U3:V3"/>
    <mergeCell ref="W3:X3"/>
    <mergeCell ref="W5:X5"/>
    <mergeCell ref="M6:N6"/>
    <mergeCell ref="O6:P6"/>
    <mergeCell ref="Q6:R6"/>
    <mergeCell ref="U6:V6"/>
    <mergeCell ref="W6:X6"/>
    <mergeCell ref="M5:N5"/>
    <mergeCell ref="O5:P5"/>
    <mergeCell ref="Q5:R5"/>
    <mergeCell ref="S5:S6"/>
    <mergeCell ref="U5:V5"/>
    <mergeCell ref="M9:N9"/>
    <mergeCell ref="O9:P9"/>
    <mergeCell ref="Q9:R9"/>
    <mergeCell ref="U9:V9"/>
    <mergeCell ref="W9:X9"/>
    <mergeCell ref="W7:X7"/>
    <mergeCell ref="M8:N8"/>
    <mergeCell ref="O8:P8"/>
    <mergeCell ref="Q8:R8"/>
    <mergeCell ref="U8:V8"/>
    <mergeCell ref="W8:X8"/>
    <mergeCell ref="M7:N7"/>
    <mergeCell ref="O7:P7"/>
    <mergeCell ref="Q7:R7"/>
    <mergeCell ref="S7:S8"/>
    <mergeCell ref="U7:V7"/>
    <mergeCell ref="U14:V14"/>
    <mergeCell ref="U11:V11"/>
    <mergeCell ref="W11:X11"/>
    <mergeCell ref="O12:P12"/>
    <mergeCell ref="Q12:R12"/>
    <mergeCell ref="U12:V12"/>
    <mergeCell ref="W12:X12"/>
    <mergeCell ref="O11:P11"/>
    <mergeCell ref="Q11:R11"/>
    <mergeCell ref="S11:S12"/>
    <mergeCell ref="L16:L19"/>
    <mergeCell ref="M16:N19"/>
    <mergeCell ref="O16:P16"/>
    <mergeCell ref="Q16:R16"/>
    <mergeCell ref="U16:V16"/>
    <mergeCell ref="U19:V19"/>
    <mergeCell ref="W14:X14"/>
    <mergeCell ref="O15:P15"/>
    <mergeCell ref="Q15:R15"/>
    <mergeCell ref="U15:V15"/>
    <mergeCell ref="W15:X15"/>
    <mergeCell ref="M10:N15"/>
    <mergeCell ref="O10:P10"/>
    <mergeCell ref="Q10:R10"/>
    <mergeCell ref="U10:V10"/>
    <mergeCell ref="W10:X10"/>
    <mergeCell ref="W19:X19"/>
    <mergeCell ref="O13:P13"/>
    <mergeCell ref="Q13:R13"/>
    <mergeCell ref="S13:S14"/>
    <mergeCell ref="U13:V13"/>
    <mergeCell ref="W13:X13"/>
    <mergeCell ref="O14:P14"/>
    <mergeCell ref="Q14:R14"/>
    <mergeCell ref="M20:N20"/>
    <mergeCell ref="O20:P20"/>
    <mergeCell ref="Q20:R20"/>
    <mergeCell ref="U20:V20"/>
    <mergeCell ref="W20:X20"/>
    <mergeCell ref="W16:X16"/>
    <mergeCell ref="O17:P19"/>
    <mergeCell ref="Q17:R18"/>
    <mergeCell ref="U17:V17"/>
    <mergeCell ref="W17:X17"/>
    <mergeCell ref="U18:V18"/>
    <mergeCell ref="W18:X18"/>
    <mergeCell ref="Q19:R19"/>
    <mergeCell ref="M22:N22"/>
    <mergeCell ref="O22:P22"/>
    <mergeCell ref="Q22:R22"/>
    <mergeCell ref="U22:V22"/>
    <mergeCell ref="W22:X22"/>
    <mergeCell ref="M21:N21"/>
    <mergeCell ref="O21:P21"/>
    <mergeCell ref="Q21:R21"/>
    <mergeCell ref="U21:V21"/>
    <mergeCell ref="W21:X21"/>
    <mergeCell ref="M24:N24"/>
    <mergeCell ref="O24:P24"/>
    <mergeCell ref="Q24:R24"/>
    <mergeCell ref="U24:V24"/>
    <mergeCell ref="W24:X24"/>
    <mergeCell ref="M23:N23"/>
    <mergeCell ref="O23:P23"/>
    <mergeCell ref="Q23:R23"/>
    <mergeCell ref="U23:V23"/>
    <mergeCell ref="W23:X23"/>
    <mergeCell ref="W25:X25"/>
    <mergeCell ref="M26:N26"/>
    <mergeCell ref="O26:P26"/>
    <mergeCell ref="Q26:R26"/>
    <mergeCell ref="U26:V26"/>
    <mergeCell ref="W26:X26"/>
    <mergeCell ref="M25:N25"/>
    <mergeCell ref="O25:P25"/>
    <mergeCell ref="Q25:R25"/>
    <mergeCell ref="S25:S26"/>
    <mergeCell ref="U25:V25"/>
    <mergeCell ref="W27:X27"/>
    <mergeCell ref="M28:N28"/>
    <mergeCell ref="O28:P28"/>
    <mergeCell ref="Q28:R28"/>
    <mergeCell ref="U28:V28"/>
    <mergeCell ref="W28:X28"/>
    <mergeCell ref="M27:N27"/>
    <mergeCell ref="O27:P27"/>
    <mergeCell ref="Q27:R27"/>
    <mergeCell ref="S27:S28"/>
    <mergeCell ref="U27:V27"/>
    <mergeCell ref="M30:N30"/>
    <mergeCell ref="O30:P30"/>
    <mergeCell ref="Q30:R30"/>
    <mergeCell ref="U30:V30"/>
    <mergeCell ref="W30:X30"/>
    <mergeCell ref="M29:N29"/>
    <mergeCell ref="O29:P29"/>
    <mergeCell ref="Q29:R29"/>
    <mergeCell ref="U29:V29"/>
    <mergeCell ref="W29:X29"/>
    <mergeCell ref="U31:V31"/>
    <mergeCell ref="W31:X31"/>
    <mergeCell ref="U32:V32"/>
    <mergeCell ref="W32:X32"/>
    <mergeCell ref="S33:S34"/>
    <mergeCell ref="U33:V33"/>
    <mergeCell ref="W33:X33"/>
    <mergeCell ref="L31:L34"/>
    <mergeCell ref="M31:N34"/>
    <mergeCell ref="O31:P34"/>
    <mergeCell ref="Q31:R34"/>
    <mergeCell ref="S31:S32"/>
    <mergeCell ref="L36:L39"/>
    <mergeCell ref="M36:N39"/>
    <mergeCell ref="O36:P36"/>
    <mergeCell ref="Q36:R36"/>
    <mergeCell ref="U36:V36"/>
    <mergeCell ref="U39:V39"/>
    <mergeCell ref="U34:V34"/>
    <mergeCell ref="W34:X34"/>
    <mergeCell ref="M35:N35"/>
    <mergeCell ref="O35:P35"/>
    <mergeCell ref="Q35:R35"/>
    <mergeCell ref="U35:V35"/>
    <mergeCell ref="W35:X35"/>
    <mergeCell ref="W39:X39"/>
    <mergeCell ref="M40:N40"/>
    <mergeCell ref="O40:P40"/>
    <mergeCell ref="Q40:R40"/>
    <mergeCell ref="U40:V40"/>
    <mergeCell ref="W40:X40"/>
    <mergeCell ref="W36:X36"/>
    <mergeCell ref="O37:P39"/>
    <mergeCell ref="Q37:R38"/>
    <mergeCell ref="U37:V37"/>
    <mergeCell ref="W37:X37"/>
    <mergeCell ref="U38:V38"/>
    <mergeCell ref="W38:X38"/>
    <mergeCell ref="Q39:R39"/>
    <mergeCell ref="W43:X43"/>
    <mergeCell ref="M42:N42"/>
    <mergeCell ref="O42:P42"/>
    <mergeCell ref="Q42:R42"/>
    <mergeCell ref="U42:V42"/>
    <mergeCell ref="W42:X42"/>
    <mergeCell ref="M41:N41"/>
    <mergeCell ref="O41:P41"/>
    <mergeCell ref="Q41:R41"/>
    <mergeCell ref="U41:V41"/>
    <mergeCell ref="W41:X41"/>
    <mergeCell ref="L44:L47"/>
    <mergeCell ref="M44:N47"/>
    <mergeCell ref="O44:P44"/>
    <mergeCell ref="Q44:R44"/>
    <mergeCell ref="U44:V44"/>
    <mergeCell ref="U47:V47"/>
    <mergeCell ref="M43:N43"/>
    <mergeCell ref="O43:P43"/>
    <mergeCell ref="Q43:R43"/>
    <mergeCell ref="U43:V43"/>
    <mergeCell ref="W49:X49"/>
    <mergeCell ref="W47:X47"/>
    <mergeCell ref="M48:N48"/>
    <mergeCell ref="O48:P48"/>
    <mergeCell ref="Q48:R48"/>
    <mergeCell ref="U48:V48"/>
    <mergeCell ref="W48:X48"/>
    <mergeCell ref="W44:X44"/>
    <mergeCell ref="O45:P47"/>
    <mergeCell ref="Q45:R46"/>
    <mergeCell ref="U45:V45"/>
    <mergeCell ref="W45:X45"/>
    <mergeCell ref="U46:V46"/>
    <mergeCell ref="W46:X46"/>
    <mergeCell ref="Q47:R47"/>
    <mergeCell ref="M49:N49"/>
    <mergeCell ref="O49:P49"/>
    <mergeCell ref="Q49:R49"/>
    <mergeCell ref="U49:V49"/>
    <mergeCell ref="U51:V51"/>
    <mergeCell ref="U52:V52"/>
    <mergeCell ref="L50:L51"/>
    <mergeCell ref="O50:P50"/>
    <mergeCell ref="M50:M52"/>
    <mergeCell ref="Q54:R54"/>
    <mergeCell ref="U54:V54"/>
    <mergeCell ref="W54:X54"/>
    <mergeCell ref="M53:N53"/>
    <mergeCell ref="O53:P53"/>
    <mergeCell ref="Q53:R53"/>
    <mergeCell ref="U53:V53"/>
    <mergeCell ref="W53:X53"/>
    <mergeCell ref="W50:X50"/>
    <mergeCell ref="W52:X52"/>
    <mergeCell ref="W51:X51"/>
    <mergeCell ref="Q50:R50"/>
    <mergeCell ref="U50:V50"/>
    <mergeCell ref="W58:X58"/>
    <mergeCell ref="M2:P2"/>
    <mergeCell ref="Q2:R2"/>
    <mergeCell ref="L13:L14"/>
    <mergeCell ref="W56:X56"/>
    <mergeCell ref="Q57:R57"/>
    <mergeCell ref="U57:V57"/>
    <mergeCell ref="W57:X57"/>
    <mergeCell ref="M58:N58"/>
    <mergeCell ref="O58:P58"/>
    <mergeCell ref="Q58:R58"/>
    <mergeCell ref="U58:V58"/>
    <mergeCell ref="L56:L57"/>
    <mergeCell ref="M56:N57"/>
    <mergeCell ref="O56:P57"/>
    <mergeCell ref="Q56:R56"/>
    <mergeCell ref="U56:V56"/>
    <mergeCell ref="M55:N55"/>
    <mergeCell ref="O55:P55"/>
    <mergeCell ref="Q55:R55"/>
    <mergeCell ref="U55:V55"/>
    <mergeCell ref="W55:X55"/>
    <mergeCell ref="M54:N54"/>
    <mergeCell ref="O54:P54"/>
  </mergeCells>
  <phoneticPr fontId="12"/>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356B4-FA56-4B91-9492-41612360EC87}">
  <sheetPr codeName="Sheet7">
    <tabColor theme="0" tint="-0.14999847407452621"/>
  </sheetPr>
  <dimension ref="A1:O87"/>
  <sheetViews>
    <sheetView showGridLines="0" topLeftCell="B1" zoomScale="90" zoomScaleNormal="90" workbookViewId="0">
      <pane xSplit="4" ySplit="5" topLeftCell="F6" activePane="bottomRight" state="frozen"/>
      <selection activeCell="C7" sqref="C7"/>
      <selection pane="topRight" activeCell="C7" sqref="C7"/>
      <selection pane="bottomLeft" activeCell="C7" sqref="C7"/>
      <selection pane="bottomRight" activeCell="G4" sqref="G4"/>
    </sheetView>
  </sheetViews>
  <sheetFormatPr defaultColWidth="9" defaultRowHeight="19.5" customHeight="1"/>
  <cols>
    <col min="1" max="1" width="3.75" style="27" hidden="1" customWidth="1"/>
    <col min="2" max="2" width="19.375" style="28" customWidth="1"/>
    <col min="3" max="3" width="8.625" style="28" bestFit="1" customWidth="1"/>
    <col min="4" max="4" width="12.5" style="28" bestFit="1" customWidth="1"/>
    <col min="5" max="5" width="10.5" style="28" bestFit="1" customWidth="1"/>
    <col min="6" max="6" width="28.125" style="27" bestFit="1" customWidth="1"/>
    <col min="7" max="7" width="52.25" style="27" customWidth="1"/>
    <col min="8" max="8" width="13.75" style="27" bestFit="1" customWidth="1"/>
    <col min="9" max="9" width="43.625" style="27" bestFit="1" customWidth="1"/>
    <col min="10" max="10" width="59.625" style="27" customWidth="1"/>
    <col min="11" max="11" width="9" style="27"/>
    <col min="12" max="12" width="9" style="27" customWidth="1"/>
    <col min="13" max="13" width="9" style="27"/>
    <col min="14" max="14" width="48.5" style="27" bestFit="1" customWidth="1"/>
    <col min="15" max="15" width="52.25" style="27" customWidth="1"/>
    <col min="16" max="16384" width="9" style="27"/>
  </cols>
  <sheetData>
    <row r="1" spans="2:15" ht="19.5" customHeight="1">
      <c r="B1" s="30" t="s">
        <v>237</v>
      </c>
      <c r="C1" s="29"/>
      <c r="D1" s="29"/>
      <c r="E1" s="29"/>
    </row>
    <row r="2" spans="2:15" ht="19.5" customHeight="1">
      <c r="B2" s="29"/>
      <c r="C2" s="29"/>
      <c r="D2" s="29"/>
      <c r="E2" s="29"/>
    </row>
    <row r="4" spans="2:15" ht="19.5" customHeight="1">
      <c r="B4" s="769" t="s">
        <v>101</v>
      </c>
      <c r="C4" s="769"/>
      <c r="D4" s="769"/>
      <c r="E4" s="770"/>
      <c r="F4" s="37" t="s">
        <v>102</v>
      </c>
      <c r="G4" s="36" t="s">
        <v>4177</v>
      </c>
      <c r="H4" s="39" t="s">
        <v>104</v>
      </c>
      <c r="I4" s="42" t="s">
        <v>105</v>
      </c>
      <c r="J4" s="42" t="s">
        <v>192</v>
      </c>
      <c r="O4" s="36" t="s">
        <v>4177</v>
      </c>
    </row>
    <row r="5" spans="2:15" ht="19.5" customHeight="1">
      <c r="B5" s="34"/>
      <c r="C5" s="35"/>
      <c r="D5" s="35"/>
      <c r="E5" s="35"/>
      <c r="F5" s="38"/>
      <c r="G5" s="36"/>
      <c r="H5" s="40" t="s">
        <v>103</v>
      </c>
      <c r="I5" s="43"/>
      <c r="J5" s="43"/>
      <c r="O5" s="36"/>
    </row>
    <row r="6" spans="2:15" ht="19.5" customHeight="1">
      <c r="B6" s="771" t="s">
        <v>132</v>
      </c>
      <c r="C6" s="774" t="s">
        <v>100</v>
      </c>
      <c r="D6" s="775"/>
      <c r="E6" s="46" t="s">
        <v>61</v>
      </c>
      <c r="F6" s="33" t="s">
        <v>62</v>
      </c>
      <c r="G6" s="33" t="str">
        <f>N6</f>
        <v>グラスウール断熱材 通常品10-50</v>
      </c>
      <c r="H6" s="41">
        <v>0.05</v>
      </c>
      <c r="I6" s="33"/>
      <c r="J6" s="33" t="s">
        <v>193</v>
      </c>
      <c r="L6" s="27" t="str">
        <f>B6</f>
        <v>グラスウール断熱材</v>
      </c>
      <c r="M6" s="27" t="str">
        <f>C$6&amp;E6</f>
        <v>通常品10-50</v>
      </c>
      <c r="N6" s="27" t="str">
        <f>L6&amp;" "&amp;M6</f>
        <v>グラスウール断熱材 通常品10-50</v>
      </c>
      <c r="O6" s="33" t="s">
        <v>4178</v>
      </c>
    </row>
    <row r="7" spans="2:15" ht="19.5" customHeight="1">
      <c r="B7" s="772"/>
      <c r="C7" s="776"/>
      <c r="D7" s="777"/>
      <c r="E7" s="46" t="s">
        <v>63</v>
      </c>
      <c r="F7" s="33" t="s">
        <v>64</v>
      </c>
      <c r="G7" s="33" t="str">
        <f t="shared" ref="G7:G70" si="0">N7</f>
        <v>グラスウール断熱材 通常品16-45</v>
      </c>
      <c r="H7" s="33">
        <v>4.4999999999999998E-2</v>
      </c>
      <c r="I7" s="33"/>
      <c r="J7" s="33" t="s">
        <v>193</v>
      </c>
      <c r="L7" s="27" t="str">
        <f>L6</f>
        <v>グラスウール断熱材</v>
      </c>
      <c r="M7" s="27" t="str">
        <f t="shared" ref="M7:M9" si="1">C$6&amp;E7</f>
        <v>通常品16-45</v>
      </c>
      <c r="N7" s="27" t="str">
        <f t="shared" ref="N7:N70" si="2">L7&amp;" "&amp;M7</f>
        <v>グラスウール断熱材 通常品16-45</v>
      </c>
      <c r="O7" s="33" t="s">
        <v>4179</v>
      </c>
    </row>
    <row r="8" spans="2:15" ht="19.5" customHeight="1">
      <c r="B8" s="772"/>
      <c r="C8" s="776"/>
      <c r="D8" s="777"/>
      <c r="E8" s="46" t="s">
        <v>65</v>
      </c>
      <c r="F8" s="33" t="s">
        <v>66</v>
      </c>
      <c r="G8" s="33" t="str">
        <f t="shared" si="0"/>
        <v>グラスウール断熱材 通常品24-38</v>
      </c>
      <c r="H8" s="33">
        <v>3.7999999999999999E-2</v>
      </c>
      <c r="I8" s="33"/>
      <c r="J8" s="33" t="s">
        <v>193</v>
      </c>
      <c r="L8" s="27" t="str">
        <f t="shared" ref="L8:L24" si="3">L7</f>
        <v>グラスウール断熱材</v>
      </c>
      <c r="M8" s="27" t="str">
        <f t="shared" si="1"/>
        <v>通常品24-38</v>
      </c>
      <c r="N8" s="27" t="str">
        <f t="shared" si="2"/>
        <v>グラスウール断熱材 通常品24-38</v>
      </c>
      <c r="O8" s="33" t="s">
        <v>4180</v>
      </c>
    </row>
    <row r="9" spans="2:15" ht="19.5" customHeight="1">
      <c r="B9" s="772"/>
      <c r="C9" s="778"/>
      <c r="D9" s="779"/>
      <c r="E9" s="46" t="s">
        <v>67</v>
      </c>
      <c r="F9" s="33" t="s">
        <v>68</v>
      </c>
      <c r="G9" s="33" t="str">
        <f t="shared" si="0"/>
        <v>グラスウール断熱材 通常品32-36</v>
      </c>
      <c r="H9" s="33">
        <v>3.5999999999999997E-2</v>
      </c>
      <c r="I9" s="33"/>
      <c r="J9" s="33" t="s">
        <v>193</v>
      </c>
      <c r="L9" s="27" t="str">
        <f t="shared" si="3"/>
        <v>グラスウール断熱材</v>
      </c>
      <c r="M9" s="27" t="str">
        <f t="shared" si="1"/>
        <v>通常品32-36</v>
      </c>
      <c r="N9" s="27" t="str">
        <f t="shared" si="2"/>
        <v>グラスウール断熱材 通常品32-36</v>
      </c>
      <c r="O9" s="33" t="s">
        <v>4181</v>
      </c>
    </row>
    <row r="10" spans="2:15" ht="19.5" customHeight="1">
      <c r="B10" s="772"/>
      <c r="C10" s="774" t="s">
        <v>69</v>
      </c>
      <c r="D10" s="775"/>
      <c r="E10" s="46" t="s">
        <v>70</v>
      </c>
      <c r="F10" s="33" t="s">
        <v>71</v>
      </c>
      <c r="G10" s="33" t="str">
        <f t="shared" si="0"/>
        <v>グラスウール断熱材 高性能品HG10-45</v>
      </c>
      <c r="H10" s="33">
        <v>4.4999999999999998E-2</v>
      </c>
      <c r="I10" s="33"/>
      <c r="J10" s="33" t="s">
        <v>193</v>
      </c>
      <c r="L10" s="27" t="str">
        <f t="shared" si="3"/>
        <v>グラスウール断熱材</v>
      </c>
      <c r="M10" s="27" t="str">
        <f>C$10&amp;E10</f>
        <v>高性能品HG10-45</v>
      </c>
      <c r="N10" s="27" t="str">
        <f t="shared" si="2"/>
        <v>グラスウール断熱材 高性能品HG10-45</v>
      </c>
      <c r="O10" s="33" t="s">
        <v>4182</v>
      </c>
    </row>
    <row r="11" spans="2:15" ht="19.5" customHeight="1">
      <c r="B11" s="772"/>
      <c r="C11" s="776"/>
      <c r="D11" s="777"/>
      <c r="E11" s="46" t="s">
        <v>72</v>
      </c>
      <c r="F11" s="33" t="s">
        <v>73</v>
      </c>
      <c r="G11" s="33" t="str">
        <f t="shared" si="0"/>
        <v>グラスウール断熱材 高性能品HG10-43</v>
      </c>
      <c r="H11" s="33">
        <v>4.2999999999999997E-2</v>
      </c>
      <c r="I11" s="33"/>
      <c r="J11" s="33" t="s">
        <v>193</v>
      </c>
      <c r="L11" s="27" t="str">
        <f t="shared" si="3"/>
        <v>グラスウール断熱材</v>
      </c>
      <c r="M11" s="27" t="str">
        <f t="shared" ref="M11:M24" si="4">C$10&amp;E11</f>
        <v>高性能品HG10-43</v>
      </c>
      <c r="N11" s="27" t="str">
        <f t="shared" si="2"/>
        <v>グラスウール断熱材 高性能品HG10-43</v>
      </c>
      <c r="O11" s="33" t="s">
        <v>4183</v>
      </c>
    </row>
    <row r="12" spans="2:15" ht="19.5" customHeight="1">
      <c r="B12" s="772"/>
      <c r="C12" s="776"/>
      <c r="D12" s="777"/>
      <c r="E12" s="46" t="s">
        <v>74</v>
      </c>
      <c r="F12" s="33" t="s">
        <v>75</v>
      </c>
      <c r="G12" s="33" t="str">
        <f t="shared" si="0"/>
        <v>グラスウール断熱材 高性能品HG14-38</v>
      </c>
      <c r="H12" s="33">
        <v>3.7999999999999999E-2</v>
      </c>
      <c r="I12" s="33"/>
      <c r="J12" s="33" t="s">
        <v>193</v>
      </c>
      <c r="L12" s="27" t="str">
        <f t="shared" si="3"/>
        <v>グラスウール断熱材</v>
      </c>
      <c r="M12" s="27" t="str">
        <f t="shared" si="4"/>
        <v>高性能品HG14-38</v>
      </c>
      <c r="N12" s="27" t="str">
        <f t="shared" si="2"/>
        <v>グラスウール断熱材 高性能品HG14-38</v>
      </c>
      <c r="O12" s="33" t="s">
        <v>4184</v>
      </c>
    </row>
    <row r="13" spans="2:15" ht="19.5" customHeight="1">
      <c r="B13" s="772"/>
      <c r="C13" s="776"/>
      <c r="D13" s="777"/>
      <c r="E13" s="46" t="s">
        <v>76</v>
      </c>
      <c r="F13" s="33" t="s">
        <v>77</v>
      </c>
      <c r="G13" s="33" t="str">
        <f t="shared" si="0"/>
        <v>グラスウール断熱材 高性能品HG16-38</v>
      </c>
      <c r="H13" s="33">
        <v>3.7999999999999999E-2</v>
      </c>
      <c r="I13" s="33"/>
      <c r="J13" s="33" t="s">
        <v>193</v>
      </c>
      <c r="L13" s="27" t="str">
        <f t="shared" si="3"/>
        <v>グラスウール断熱材</v>
      </c>
      <c r="M13" s="27" t="str">
        <f t="shared" si="4"/>
        <v>高性能品HG16-38</v>
      </c>
      <c r="N13" s="27" t="str">
        <f t="shared" si="2"/>
        <v>グラスウール断熱材 高性能品HG16-38</v>
      </c>
      <c r="O13" s="33" t="s">
        <v>4185</v>
      </c>
    </row>
    <row r="14" spans="2:15" ht="19.5" customHeight="1">
      <c r="B14" s="772"/>
      <c r="C14" s="776"/>
      <c r="D14" s="777"/>
      <c r="E14" s="46" t="s">
        <v>78</v>
      </c>
      <c r="F14" s="33" t="s">
        <v>79</v>
      </c>
      <c r="G14" s="33" t="str">
        <f t="shared" si="0"/>
        <v>グラスウール断熱材 高性能品HG16-37</v>
      </c>
      <c r="H14" s="33">
        <v>3.6999999999999998E-2</v>
      </c>
      <c r="I14" s="33"/>
      <c r="J14" s="33" t="s">
        <v>193</v>
      </c>
      <c r="L14" s="27" t="str">
        <f t="shared" si="3"/>
        <v>グラスウール断熱材</v>
      </c>
      <c r="M14" s="27" t="str">
        <f t="shared" si="4"/>
        <v>高性能品HG16-37</v>
      </c>
      <c r="N14" s="27" t="str">
        <f t="shared" si="2"/>
        <v>グラスウール断熱材 高性能品HG16-37</v>
      </c>
      <c r="O14" s="33" t="s">
        <v>4186</v>
      </c>
    </row>
    <row r="15" spans="2:15" ht="19.5" customHeight="1">
      <c r="B15" s="772"/>
      <c r="C15" s="776"/>
      <c r="D15" s="777"/>
      <c r="E15" s="46" t="s">
        <v>80</v>
      </c>
      <c r="F15" s="33" t="s">
        <v>81</v>
      </c>
      <c r="G15" s="33" t="str">
        <f t="shared" si="0"/>
        <v>グラスウール断熱材 高性能品HG20-36</v>
      </c>
      <c r="H15" s="33">
        <v>3.5999999999999997E-2</v>
      </c>
      <c r="I15" s="33"/>
      <c r="J15" s="33" t="s">
        <v>193</v>
      </c>
      <c r="L15" s="27" t="str">
        <f t="shared" si="3"/>
        <v>グラスウール断熱材</v>
      </c>
      <c r="M15" s="27" t="str">
        <f t="shared" si="4"/>
        <v>高性能品HG20-36</v>
      </c>
      <c r="N15" s="27" t="str">
        <f t="shared" si="2"/>
        <v>グラスウール断熱材 高性能品HG20-36</v>
      </c>
      <c r="O15" s="33" t="s">
        <v>4187</v>
      </c>
    </row>
    <row r="16" spans="2:15" ht="19.5" customHeight="1">
      <c r="B16" s="772"/>
      <c r="C16" s="776"/>
      <c r="D16" s="777"/>
      <c r="E16" s="46" t="s">
        <v>82</v>
      </c>
      <c r="F16" s="33" t="s">
        <v>83</v>
      </c>
      <c r="G16" s="33" t="str">
        <f t="shared" si="0"/>
        <v>グラスウール断熱材 高性能品HG20-35</v>
      </c>
      <c r="H16" s="33">
        <v>3.5000000000000003E-2</v>
      </c>
      <c r="I16" s="33"/>
      <c r="J16" s="33" t="s">
        <v>193</v>
      </c>
      <c r="L16" s="27" t="str">
        <f t="shared" si="3"/>
        <v>グラスウール断熱材</v>
      </c>
      <c r="M16" s="27" t="str">
        <f t="shared" si="4"/>
        <v>高性能品HG20-35</v>
      </c>
      <c r="N16" s="27" t="str">
        <f t="shared" si="2"/>
        <v>グラスウール断熱材 高性能品HG20-35</v>
      </c>
      <c r="O16" s="33" t="s">
        <v>4188</v>
      </c>
    </row>
    <row r="17" spans="2:15" ht="19.5" customHeight="1">
      <c r="B17" s="772"/>
      <c r="C17" s="776"/>
      <c r="D17" s="777"/>
      <c r="E17" s="46" t="s">
        <v>84</v>
      </c>
      <c r="F17" s="33" t="s">
        <v>85</v>
      </c>
      <c r="G17" s="33" t="str">
        <f t="shared" si="0"/>
        <v>グラスウール断熱材 高性能品HG20-34</v>
      </c>
      <c r="H17" s="33">
        <v>3.4000000000000002E-2</v>
      </c>
      <c r="I17" s="33"/>
      <c r="J17" s="33" t="s">
        <v>193</v>
      </c>
      <c r="L17" s="27" t="str">
        <f t="shared" si="3"/>
        <v>グラスウール断熱材</v>
      </c>
      <c r="M17" s="27" t="str">
        <f t="shared" si="4"/>
        <v>高性能品HG20-34</v>
      </c>
      <c r="N17" s="27" t="str">
        <f t="shared" si="2"/>
        <v>グラスウール断熱材 高性能品HG20-34</v>
      </c>
      <c r="O17" s="33" t="s">
        <v>4189</v>
      </c>
    </row>
    <row r="18" spans="2:15" ht="19.5" customHeight="1">
      <c r="B18" s="772"/>
      <c r="C18" s="776"/>
      <c r="D18" s="777"/>
      <c r="E18" s="46" t="s">
        <v>86</v>
      </c>
      <c r="F18" s="33" t="s">
        <v>87</v>
      </c>
      <c r="G18" s="33" t="str">
        <f t="shared" si="0"/>
        <v>グラスウール断熱材 高性能品HG24-36</v>
      </c>
      <c r="H18" s="33">
        <v>3.5999999999999997E-2</v>
      </c>
      <c r="I18" s="33"/>
      <c r="J18" s="33" t="s">
        <v>193</v>
      </c>
      <c r="L18" s="27" t="str">
        <f t="shared" si="3"/>
        <v>グラスウール断熱材</v>
      </c>
      <c r="M18" s="27" t="str">
        <f t="shared" si="4"/>
        <v>高性能品HG24-36</v>
      </c>
      <c r="N18" s="27" t="str">
        <f t="shared" si="2"/>
        <v>グラスウール断熱材 高性能品HG24-36</v>
      </c>
      <c r="O18" s="33" t="s">
        <v>4190</v>
      </c>
    </row>
    <row r="19" spans="2:15" ht="19.5" customHeight="1">
      <c r="B19" s="772"/>
      <c r="C19" s="776"/>
      <c r="D19" s="777"/>
      <c r="E19" s="46" t="s">
        <v>88</v>
      </c>
      <c r="F19" s="33" t="s">
        <v>89</v>
      </c>
      <c r="G19" s="33" t="str">
        <f t="shared" si="0"/>
        <v>グラスウール断熱材 高性能品HG24-35</v>
      </c>
      <c r="H19" s="33">
        <v>3.5000000000000003E-2</v>
      </c>
      <c r="I19" s="33"/>
      <c r="J19" s="33" t="s">
        <v>193</v>
      </c>
      <c r="L19" s="27" t="str">
        <f t="shared" si="3"/>
        <v>グラスウール断熱材</v>
      </c>
      <c r="M19" s="27" t="str">
        <f t="shared" si="4"/>
        <v>高性能品HG24-35</v>
      </c>
      <c r="N19" s="27" t="str">
        <f t="shared" si="2"/>
        <v>グラスウール断熱材 高性能品HG24-35</v>
      </c>
      <c r="O19" s="33" t="s">
        <v>4191</v>
      </c>
    </row>
    <row r="20" spans="2:15" ht="19.5" customHeight="1">
      <c r="B20" s="772"/>
      <c r="C20" s="776"/>
      <c r="D20" s="777"/>
      <c r="E20" s="46" t="s">
        <v>90</v>
      </c>
      <c r="F20" s="33" t="s">
        <v>91</v>
      </c>
      <c r="G20" s="33" t="str">
        <f t="shared" si="0"/>
        <v>グラスウール断熱材 高性能品HG24-34</v>
      </c>
      <c r="H20" s="33">
        <v>3.4000000000000002E-2</v>
      </c>
      <c r="I20" s="33"/>
      <c r="J20" s="33" t="s">
        <v>193</v>
      </c>
      <c r="L20" s="27" t="str">
        <f t="shared" si="3"/>
        <v>グラスウール断熱材</v>
      </c>
      <c r="M20" s="27" t="str">
        <f t="shared" si="4"/>
        <v>高性能品HG24-34</v>
      </c>
      <c r="N20" s="27" t="str">
        <f t="shared" si="2"/>
        <v>グラスウール断熱材 高性能品HG24-34</v>
      </c>
      <c r="O20" s="33" t="s">
        <v>4192</v>
      </c>
    </row>
    <row r="21" spans="2:15" ht="19.5" customHeight="1">
      <c r="B21" s="772"/>
      <c r="C21" s="776"/>
      <c r="D21" s="777"/>
      <c r="E21" s="46" t="s">
        <v>92</v>
      </c>
      <c r="F21" s="33" t="s">
        <v>93</v>
      </c>
      <c r="G21" s="33" t="str">
        <f t="shared" si="0"/>
        <v>グラスウール断熱材 高性能品HG28-33</v>
      </c>
      <c r="H21" s="33">
        <v>3.3000000000000002E-2</v>
      </c>
      <c r="I21" s="33"/>
      <c r="J21" s="33" t="s">
        <v>193</v>
      </c>
      <c r="L21" s="27" t="str">
        <f t="shared" si="3"/>
        <v>グラスウール断熱材</v>
      </c>
      <c r="M21" s="27" t="str">
        <f t="shared" si="4"/>
        <v>高性能品HG28-33</v>
      </c>
      <c r="N21" s="27" t="str">
        <f t="shared" si="2"/>
        <v>グラスウール断熱材 高性能品HG28-33</v>
      </c>
      <c r="O21" s="33" t="s">
        <v>4193</v>
      </c>
    </row>
    <row r="22" spans="2:15" ht="19.5" customHeight="1">
      <c r="B22" s="772"/>
      <c r="C22" s="776"/>
      <c r="D22" s="777"/>
      <c r="E22" s="46" t="s">
        <v>94</v>
      </c>
      <c r="F22" s="33" t="s">
        <v>95</v>
      </c>
      <c r="G22" s="33" t="str">
        <f t="shared" si="0"/>
        <v>グラスウール断熱材 高性能品HG32-35</v>
      </c>
      <c r="H22" s="33">
        <v>3.5000000000000003E-2</v>
      </c>
      <c r="I22" s="33"/>
      <c r="J22" s="33" t="s">
        <v>193</v>
      </c>
      <c r="L22" s="27" t="str">
        <f t="shared" si="3"/>
        <v>グラスウール断熱材</v>
      </c>
      <c r="M22" s="27" t="str">
        <f t="shared" si="4"/>
        <v>高性能品HG32-35</v>
      </c>
      <c r="N22" s="27" t="str">
        <f t="shared" si="2"/>
        <v>グラスウール断熱材 高性能品HG32-35</v>
      </c>
      <c r="O22" s="33" t="s">
        <v>4194</v>
      </c>
    </row>
    <row r="23" spans="2:15" ht="19.5" customHeight="1">
      <c r="B23" s="772"/>
      <c r="C23" s="776"/>
      <c r="D23" s="777"/>
      <c r="E23" s="46" t="s">
        <v>96</v>
      </c>
      <c r="F23" s="33" t="s">
        <v>97</v>
      </c>
      <c r="G23" s="33" t="str">
        <f t="shared" si="0"/>
        <v>グラスウール断熱材 高性能品HG36-32</v>
      </c>
      <c r="H23" s="33">
        <v>3.2000000000000001E-2</v>
      </c>
      <c r="I23" s="33"/>
      <c r="J23" s="33" t="s">
        <v>193</v>
      </c>
      <c r="L23" s="27" t="str">
        <f t="shared" si="3"/>
        <v>グラスウール断熱材</v>
      </c>
      <c r="M23" s="27" t="str">
        <f t="shared" si="4"/>
        <v>高性能品HG36-32</v>
      </c>
      <c r="N23" s="27" t="str">
        <f t="shared" si="2"/>
        <v>グラスウール断熱材 高性能品HG36-32</v>
      </c>
      <c r="O23" s="33" t="s">
        <v>4195</v>
      </c>
    </row>
    <row r="24" spans="2:15" ht="19.5" customHeight="1">
      <c r="B24" s="773"/>
      <c r="C24" s="778"/>
      <c r="D24" s="779"/>
      <c r="E24" s="46" t="s">
        <v>98</v>
      </c>
      <c r="F24" s="33" t="s">
        <v>99</v>
      </c>
      <c r="G24" s="33" t="str">
        <f t="shared" si="0"/>
        <v>グラスウール断熱材 高性能品HG38-32</v>
      </c>
      <c r="H24" s="33">
        <v>3.2000000000000001E-2</v>
      </c>
      <c r="I24" s="33"/>
      <c r="J24" s="33" t="s">
        <v>193</v>
      </c>
      <c r="L24" s="27" t="str">
        <f t="shared" si="3"/>
        <v>グラスウール断熱材</v>
      </c>
      <c r="M24" s="27" t="str">
        <f t="shared" si="4"/>
        <v>高性能品HG38-32</v>
      </c>
      <c r="N24" s="27" t="str">
        <f t="shared" si="2"/>
        <v>グラスウール断熱材 高性能品HG38-32</v>
      </c>
      <c r="O24" s="33" t="s">
        <v>4196</v>
      </c>
    </row>
    <row r="25" spans="2:15" ht="19.5" customHeight="1">
      <c r="B25" s="760" t="s">
        <v>118</v>
      </c>
      <c r="C25" s="31" t="s">
        <v>106</v>
      </c>
      <c r="D25" s="44"/>
      <c r="E25" s="45"/>
      <c r="F25" s="33" t="s">
        <v>107</v>
      </c>
      <c r="G25" s="33" t="str">
        <f t="shared" si="0"/>
        <v>ロックウール断熱材 LD</v>
      </c>
      <c r="H25" s="33">
        <v>3.9E-2</v>
      </c>
      <c r="I25" s="33"/>
      <c r="J25" s="33" t="s">
        <v>193</v>
      </c>
      <c r="L25" s="27" t="str">
        <f>B25</f>
        <v>ロックウール断熱材</v>
      </c>
      <c r="M25" s="27" t="str">
        <f>C25</f>
        <v>LD</v>
      </c>
      <c r="N25" s="27" t="str">
        <f t="shared" si="2"/>
        <v>ロックウール断熱材 LD</v>
      </c>
      <c r="O25" s="33" t="s">
        <v>4197</v>
      </c>
    </row>
    <row r="26" spans="2:15" ht="19.5" customHeight="1">
      <c r="B26" s="761"/>
      <c r="C26" s="31" t="s">
        <v>108</v>
      </c>
      <c r="D26" s="44"/>
      <c r="E26" s="32"/>
      <c r="F26" s="33" t="s">
        <v>109</v>
      </c>
      <c r="G26" s="33" t="str">
        <f t="shared" si="0"/>
        <v>ロックウール断熱材 MA</v>
      </c>
      <c r="H26" s="33">
        <v>3.7999999999999999E-2</v>
      </c>
      <c r="I26" s="33"/>
      <c r="J26" s="33" t="s">
        <v>193</v>
      </c>
      <c r="L26" s="27" t="str">
        <f>L25</f>
        <v>ロックウール断熱材</v>
      </c>
      <c r="M26" s="27" t="str">
        <f t="shared" ref="M26:M30" si="5">C26</f>
        <v>MA</v>
      </c>
      <c r="N26" s="27" t="str">
        <f t="shared" si="2"/>
        <v>ロックウール断熱材 MA</v>
      </c>
      <c r="O26" s="33" t="s">
        <v>4198</v>
      </c>
    </row>
    <row r="27" spans="2:15" ht="19.5" customHeight="1">
      <c r="B27" s="761"/>
      <c r="C27" s="31" t="s">
        <v>110</v>
      </c>
      <c r="D27" s="44"/>
      <c r="E27" s="32"/>
      <c r="F27" s="33" t="s">
        <v>111</v>
      </c>
      <c r="G27" s="33" t="str">
        <f t="shared" si="0"/>
        <v>ロックウール断熱材 MB</v>
      </c>
      <c r="H27" s="33">
        <v>3.6999999999999998E-2</v>
      </c>
      <c r="I27" s="33"/>
      <c r="J27" s="33" t="s">
        <v>193</v>
      </c>
      <c r="L27" s="27" t="str">
        <f t="shared" ref="L27:L30" si="6">L26</f>
        <v>ロックウール断熱材</v>
      </c>
      <c r="M27" s="27" t="str">
        <f t="shared" si="5"/>
        <v>MB</v>
      </c>
      <c r="N27" s="27" t="str">
        <f t="shared" si="2"/>
        <v>ロックウール断熱材 MB</v>
      </c>
      <c r="O27" s="33" t="s">
        <v>4199</v>
      </c>
    </row>
    <row r="28" spans="2:15" ht="19.5" customHeight="1">
      <c r="B28" s="761"/>
      <c r="C28" s="31" t="s">
        <v>112</v>
      </c>
      <c r="D28" s="44"/>
      <c r="E28" s="32"/>
      <c r="F28" s="33" t="s">
        <v>113</v>
      </c>
      <c r="G28" s="33" t="str">
        <f t="shared" si="0"/>
        <v>ロックウール断熱材 MC、HA</v>
      </c>
      <c r="H28" s="33">
        <v>3.5999999999999997E-2</v>
      </c>
      <c r="I28" s="33"/>
      <c r="J28" s="33" t="s">
        <v>193</v>
      </c>
      <c r="L28" s="27" t="str">
        <f t="shared" si="6"/>
        <v>ロックウール断熱材</v>
      </c>
      <c r="M28" s="27" t="str">
        <f t="shared" si="5"/>
        <v>MC、HA</v>
      </c>
      <c r="N28" s="27" t="str">
        <f t="shared" si="2"/>
        <v>ロックウール断熱材 MC、HA</v>
      </c>
      <c r="O28" s="33" t="s">
        <v>4200</v>
      </c>
    </row>
    <row r="29" spans="2:15" ht="19.5" customHeight="1">
      <c r="B29" s="761"/>
      <c r="C29" s="31" t="s">
        <v>114</v>
      </c>
      <c r="D29" s="44"/>
      <c r="E29" s="32"/>
      <c r="F29" s="33" t="s">
        <v>115</v>
      </c>
      <c r="G29" s="33" t="str">
        <f t="shared" si="0"/>
        <v>ロックウール断熱材 HB</v>
      </c>
      <c r="H29" s="33">
        <v>3.5000000000000003E-2</v>
      </c>
      <c r="I29" s="33"/>
      <c r="J29" s="33" t="s">
        <v>193</v>
      </c>
      <c r="L29" s="27" t="str">
        <f t="shared" si="6"/>
        <v>ロックウール断熱材</v>
      </c>
      <c r="M29" s="27" t="str">
        <f t="shared" si="5"/>
        <v>HB</v>
      </c>
      <c r="N29" s="27" t="str">
        <f t="shared" si="2"/>
        <v>ロックウール断熱材 HB</v>
      </c>
      <c r="O29" s="33" t="s">
        <v>4201</v>
      </c>
    </row>
    <row r="30" spans="2:15" ht="19.5" customHeight="1">
      <c r="B30" s="761"/>
      <c r="C30" s="31" t="s">
        <v>116</v>
      </c>
      <c r="D30" s="44"/>
      <c r="E30" s="32"/>
      <c r="F30" s="33" t="s">
        <v>117</v>
      </c>
      <c r="G30" s="33" t="str">
        <f t="shared" si="0"/>
        <v>ロックウール断熱材 HC</v>
      </c>
      <c r="H30" s="33">
        <v>3.4000000000000002E-2</v>
      </c>
      <c r="I30" s="33"/>
      <c r="J30" s="33" t="s">
        <v>193</v>
      </c>
      <c r="L30" s="27" t="str">
        <f t="shared" si="6"/>
        <v>ロックウール断熱材</v>
      </c>
      <c r="M30" s="27" t="str">
        <f t="shared" si="5"/>
        <v>HC</v>
      </c>
      <c r="N30" s="27" t="str">
        <f t="shared" si="2"/>
        <v>ロックウール断熱材 HC</v>
      </c>
      <c r="O30" s="33" t="s">
        <v>4202</v>
      </c>
    </row>
    <row r="31" spans="2:15" ht="19.5" customHeight="1">
      <c r="B31" s="760" t="s">
        <v>131</v>
      </c>
      <c r="C31" s="47" t="s">
        <v>119</v>
      </c>
      <c r="D31" s="44"/>
      <c r="E31" s="45"/>
      <c r="F31" s="33" t="s">
        <v>120</v>
      </c>
      <c r="G31" s="33" t="str">
        <f t="shared" si="0"/>
        <v>インシュレーション
ファイバー断熱材 ファイバーマット</v>
      </c>
      <c r="H31" s="33">
        <v>0.04</v>
      </c>
      <c r="I31" s="33"/>
      <c r="J31" s="33" t="s">
        <v>193</v>
      </c>
      <c r="L31" s="27" t="str">
        <f>B31</f>
        <v>インシュレーション
ファイバー断熱材</v>
      </c>
      <c r="M31" s="27" t="str">
        <f>C31</f>
        <v>ファイバーマット</v>
      </c>
      <c r="N31" s="27" t="str">
        <f t="shared" si="2"/>
        <v>インシュレーション
ファイバー断熱材 ファイバーマット</v>
      </c>
      <c r="O31" s="33" t="s">
        <v>4203</v>
      </c>
    </row>
    <row r="32" spans="2:15" ht="19.5" customHeight="1">
      <c r="B32" s="762"/>
      <c r="C32" s="47" t="s">
        <v>121</v>
      </c>
      <c r="D32" s="44"/>
      <c r="E32" s="45"/>
      <c r="F32" s="33" t="s">
        <v>122</v>
      </c>
      <c r="G32" s="33" t="str">
        <f t="shared" si="0"/>
        <v>インシュレーション
ファイバー断熱材 ファイバーボード</v>
      </c>
      <c r="H32" s="33">
        <v>5.1999999999999998E-2</v>
      </c>
      <c r="I32" s="33"/>
      <c r="J32" s="33" t="s">
        <v>193</v>
      </c>
      <c r="L32" s="27" t="str">
        <f>L31</f>
        <v>インシュレーション
ファイバー断熱材</v>
      </c>
      <c r="M32" s="27" t="str">
        <f>C32</f>
        <v>ファイバーボード</v>
      </c>
      <c r="N32" s="27" t="str">
        <f t="shared" si="2"/>
        <v>インシュレーション
ファイバー断熱材 ファイバーボード</v>
      </c>
      <c r="O32" s="33" t="s">
        <v>4204</v>
      </c>
    </row>
    <row r="33" spans="2:15" ht="19.5" customHeight="1">
      <c r="B33" s="760" t="s">
        <v>133</v>
      </c>
      <c r="C33" s="31" t="s">
        <v>123</v>
      </c>
      <c r="D33" s="44"/>
      <c r="E33" s="45"/>
      <c r="F33" s="33" t="s">
        <v>124</v>
      </c>
      <c r="G33" s="33" t="str">
        <f t="shared" si="0"/>
        <v xml:space="preserve">ビーズ法ポリスチレンフォーム断熱材 1号 </v>
      </c>
      <c r="H33" s="33">
        <v>3.4000000000000002E-2</v>
      </c>
      <c r="I33" s="33"/>
      <c r="J33" s="33" t="s">
        <v>193</v>
      </c>
      <c r="L33" s="27" t="str">
        <f>B33</f>
        <v>ビーズ法ポリスチレンフォーム断熱材</v>
      </c>
      <c r="M33" s="27" t="str">
        <f>C33</f>
        <v xml:space="preserve">1号 </v>
      </c>
      <c r="N33" s="27" t="str">
        <f t="shared" si="2"/>
        <v xml:space="preserve">ビーズ法ポリスチレンフォーム断熱材 1号 </v>
      </c>
      <c r="O33" s="33" t="s">
        <v>4205</v>
      </c>
    </row>
    <row r="34" spans="2:15" ht="19.5" customHeight="1">
      <c r="B34" s="761"/>
      <c r="C34" s="31" t="s">
        <v>125</v>
      </c>
      <c r="D34" s="44"/>
      <c r="E34" s="45"/>
      <c r="F34" s="33" t="s">
        <v>126</v>
      </c>
      <c r="G34" s="33" t="str">
        <f t="shared" si="0"/>
        <v xml:space="preserve">ビーズ法ポリスチレンフォーム断熱材 2号 </v>
      </c>
      <c r="H34" s="33">
        <v>3.5999999999999997E-2</v>
      </c>
      <c r="I34" s="33"/>
      <c r="J34" s="33" t="s">
        <v>193</v>
      </c>
      <c r="L34" s="27" t="str">
        <f t="shared" ref="L34:L36" si="7">L33</f>
        <v>ビーズ法ポリスチレンフォーム断熱材</v>
      </c>
      <c r="M34" s="27" t="str">
        <f>C34</f>
        <v xml:space="preserve">2号 </v>
      </c>
      <c r="N34" s="27" t="str">
        <f t="shared" si="2"/>
        <v xml:space="preserve">ビーズ法ポリスチレンフォーム断熱材 2号 </v>
      </c>
      <c r="O34" s="33" t="s">
        <v>4206</v>
      </c>
    </row>
    <row r="35" spans="2:15" ht="19.5" customHeight="1">
      <c r="B35" s="761"/>
      <c r="C35" s="31" t="s">
        <v>127</v>
      </c>
      <c r="D35" s="44"/>
      <c r="E35" s="45"/>
      <c r="F35" s="33" t="s">
        <v>128</v>
      </c>
      <c r="G35" s="33" t="str">
        <f t="shared" si="0"/>
        <v xml:space="preserve">ビーズ法ポリスチレンフォーム断熱材 3号 </v>
      </c>
      <c r="H35" s="33">
        <v>3.7999999999999999E-2</v>
      </c>
      <c r="I35" s="33"/>
      <c r="J35" s="33" t="s">
        <v>193</v>
      </c>
      <c r="L35" s="27" t="str">
        <f t="shared" si="7"/>
        <v>ビーズ法ポリスチレンフォーム断熱材</v>
      </c>
      <c r="M35" s="27" t="str">
        <f>C35</f>
        <v xml:space="preserve">3号 </v>
      </c>
      <c r="N35" s="27" t="str">
        <f t="shared" si="2"/>
        <v xml:space="preserve">ビーズ法ポリスチレンフォーム断熱材 3号 </v>
      </c>
      <c r="O35" s="33" t="s">
        <v>4207</v>
      </c>
    </row>
    <row r="36" spans="2:15" ht="19.5" customHeight="1">
      <c r="B36" s="762"/>
      <c r="C36" s="48" t="s">
        <v>129</v>
      </c>
      <c r="D36" s="49"/>
      <c r="E36" s="50"/>
      <c r="F36" s="33" t="s">
        <v>130</v>
      </c>
      <c r="G36" s="33" t="str">
        <f t="shared" si="0"/>
        <v xml:space="preserve">ビーズ法ポリスチレンフォーム断熱材 4号 </v>
      </c>
      <c r="H36" s="33">
        <v>4.1000000000000002E-2</v>
      </c>
      <c r="I36" s="33"/>
      <c r="J36" s="33" t="s">
        <v>193</v>
      </c>
      <c r="L36" s="27" t="str">
        <f t="shared" si="7"/>
        <v>ビーズ法ポリスチレンフォーム断熱材</v>
      </c>
      <c r="M36" s="27" t="str">
        <f>C36</f>
        <v xml:space="preserve">4号 </v>
      </c>
      <c r="N36" s="27" t="str">
        <f t="shared" si="2"/>
        <v xml:space="preserve">ビーズ法ポリスチレンフォーム断熱材 4号 </v>
      </c>
      <c r="O36" s="33" t="s">
        <v>4208</v>
      </c>
    </row>
    <row r="37" spans="2:15" ht="19.5" customHeight="1">
      <c r="B37" s="760" t="s">
        <v>188</v>
      </c>
      <c r="C37" s="763" t="s">
        <v>134</v>
      </c>
      <c r="D37" s="763" t="s">
        <v>135</v>
      </c>
      <c r="E37" s="51" t="s">
        <v>136</v>
      </c>
      <c r="F37" s="33" t="s">
        <v>137</v>
      </c>
      <c r="G37" s="33" t="str">
        <f t="shared" si="0"/>
        <v>押出法ポリスチレンフォーム断熱材 1種bA</v>
      </c>
      <c r="H37" s="33">
        <v>0.04</v>
      </c>
      <c r="I37" s="52" t="s">
        <v>183</v>
      </c>
      <c r="J37" s="33" t="s">
        <v>193</v>
      </c>
      <c r="L37" s="27" t="str">
        <f>B37</f>
        <v>押出法ポリスチレンフォーム断熱材</v>
      </c>
      <c r="M37" s="27" t="str">
        <f>C37&amp;D37&amp;E37</f>
        <v>1種bA</v>
      </c>
      <c r="N37" s="27" t="str">
        <f t="shared" si="2"/>
        <v>押出法ポリスチレンフォーム断熱材 1種bA</v>
      </c>
      <c r="O37" s="33" t="s">
        <v>4209</v>
      </c>
    </row>
    <row r="38" spans="2:15" ht="19.5" customHeight="1">
      <c r="B38" s="761"/>
      <c r="C38" s="765"/>
      <c r="D38" s="767"/>
      <c r="E38" s="51" t="s">
        <v>138</v>
      </c>
      <c r="F38" s="33" t="s">
        <v>139</v>
      </c>
      <c r="G38" s="33" t="str">
        <f t="shared" si="0"/>
        <v>押出法ポリスチレンフォーム断熱材 1種bC</v>
      </c>
      <c r="H38" s="33">
        <v>3.5999999999999997E-2</v>
      </c>
      <c r="I38" s="53"/>
      <c r="J38" s="33" t="s">
        <v>193</v>
      </c>
      <c r="L38" s="27" t="str">
        <f t="shared" ref="L38:L46" si="8">L37</f>
        <v>押出法ポリスチレンフォーム断熱材</v>
      </c>
      <c r="M38" s="27" t="str">
        <f>C37&amp;D37&amp;E38</f>
        <v>1種bC</v>
      </c>
      <c r="N38" s="27" t="str">
        <f t="shared" si="2"/>
        <v>押出法ポリスチレンフォーム断熱材 1種bC</v>
      </c>
      <c r="O38" s="33" t="s">
        <v>4210</v>
      </c>
    </row>
    <row r="39" spans="2:15" ht="19.5" customHeight="1">
      <c r="B39" s="761"/>
      <c r="C39" s="46" t="s">
        <v>140</v>
      </c>
      <c r="D39" s="46" t="s">
        <v>135</v>
      </c>
      <c r="E39" s="51" t="s">
        <v>136</v>
      </c>
      <c r="F39" s="33" t="s">
        <v>141</v>
      </c>
      <c r="G39" s="33" t="str">
        <f t="shared" si="0"/>
        <v>押出法ポリスチレンフォーム断熱材 2種bA</v>
      </c>
      <c r="H39" s="33">
        <v>3.4000000000000002E-2</v>
      </c>
      <c r="I39" s="53"/>
      <c r="J39" s="33" t="s">
        <v>193</v>
      </c>
      <c r="L39" s="27" t="str">
        <f t="shared" si="8"/>
        <v>押出法ポリスチレンフォーム断熱材</v>
      </c>
      <c r="M39" s="27" t="str">
        <f>C39&amp;D39&amp;E39</f>
        <v>2種bA</v>
      </c>
      <c r="N39" s="27" t="str">
        <f t="shared" si="2"/>
        <v>押出法ポリスチレンフォーム断熱材 2種bA</v>
      </c>
      <c r="O39" s="33" t="s">
        <v>4211</v>
      </c>
    </row>
    <row r="40" spans="2:15" ht="19.5" customHeight="1">
      <c r="B40" s="761"/>
      <c r="C40" s="763" t="s">
        <v>142</v>
      </c>
      <c r="D40" s="763" t="s">
        <v>143</v>
      </c>
      <c r="E40" s="51" t="s">
        <v>136</v>
      </c>
      <c r="F40" s="33" t="s">
        <v>144</v>
      </c>
      <c r="G40" s="33" t="str">
        <f t="shared" si="0"/>
        <v>押出法ポリスチレンフォーム断熱材 3種aA</v>
      </c>
      <c r="H40" s="33">
        <v>2.8000000000000001E-2</v>
      </c>
      <c r="I40" s="53"/>
      <c r="J40" s="33" t="s">
        <v>193</v>
      </c>
      <c r="L40" s="27" t="str">
        <f t="shared" si="8"/>
        <v>押出法ポリスチレンフォーム断熱材</v>
      </c>
      <c r="M40" s="27" t="str">
        <f>C40&amp;D40&amp;E40</f>
        <v>3種aA</v>
      </c>
      <c r="N40" s="27" t="str">
        <f t="shared" si="2"/>
        <v>押出法ポリスチレンフォーム断熱材 3種aA</v>
      </c>
      <c r="O40" s="33" t="s">
        <v>4212</v>
      </c>
    </row>
    <row r="41" spans="2:15" ht="19.5" customHeight="1">
      <c r="B41" s="761"/>
      <c r="C41" s="766"/>
      <c r="D41" s="766"/>
      <c r="E41" s="51" t="s">
        <v>138</v>
      </c>
      <c r="F41" s="33" t="s">
        <v>145</v>
      </c>
      <c r="G41" s="33" t="str">
        <f t="shared" si="0"/>
        <v>押出法ポリスチレンフォーム断熱材 3種aC</v>
      </c>
      <c r="H41" s="33">
        <v>2.4E-2</v>
      </c>
      <c r="I41" s="53"/>
      <c r="J41" s="33" t="s">
        <v>193</v>
      </c>
      <c r="L41" s="27" t="str">
        <f t="shared" si="8"/>
        <v>押出法ポリスチレンフォーム断熱材</v>
      </c>
      <c r="M41" s="27" t="str">
        <f>C40&amp;D40&amp;E41</f>
        <v>3種aC</v>
      </c>
      <c r="N41" s="27" t="str">
        <f t="shared" si="2"/>
        <v>押出法ポリスチレンフォーム断熱材 3種aC</v>
      </c>
      <c r="O41" s="33" t="s">
        <v>4213</v>
      </c>
    </row>
    <row r="42" spans="2:15" ht="19.5" customHeight="1">
      <c r="B42" s="761"/>
      <c r="C42" s="766"/>
      <c r="D42" s="767"/>
      <c r="E42" s="51" t="s">
        <v>146</v>
      </c>
      <c r="F42" s="33" t="s">
        <v>147</v>
      </c>
      <c r="G42" s="33" t="str">
        <f t="shared" si="0"/>
        <v>押出法ポリスチレンフォーム断熱材 3種aD</v>
      </c>
      <c r="H42" s="33">
        <v>2.1999999999999999E-2</v>
      </c>
      <c r="I42" s="53"/>
      <c r="J42" s="33" t="s">
        <v>193</v>
      </c>
      <c r="L42" s="27" t="str">
        <f t="shared" si="8"/>
        <v>押出法ポリスチレンフォーム断熱材</v>
      </c>
      <c r="M42" s="27" t="str">
        <f>C40&amp;D40&amp;E42</f>
        <v>3種aD</v>
      </c>
      <c r="N42" s="27" t="str">
        <f t="shared" si="2"/>
        <v>押出法ポリスチレンフォーム断熱材 3種aD</v>
      </c>
      <c r="O42" s="33" t="s">
        <v>4214</v>
      </c>
    </row>
    <row r="43" spans="2:15" ht="19.5" customHeight="1">
      <c r="B43" s="761"/>
      <c r="C43" s="766"/>
      <c r="D43" s="763" t="s">
        <v>135</v>
      </c>
      <c r="E43" s="51" t="s">
        <v>136</v>
      </c>
      <c r="F43" s="33" t="s">
        <v>148</v>
      </c>
      <c r="G43" s="33" t="str">
        <f t="shared" si="0"/>
        <v>押出法ポリスチレンフォーム断熱材 3種bA</v>
      </c>
      <c r="H43" s="33">
        <v>2.8000000000000001E-2</v>
      </c>
      <c r="I43" s="53"/>
      <c r="J43" s="33" t="s">
        <v>193</v>
      </c>
      <c r="L43" s="27" t="str">
        <f t="shared" si="8"/>
        <v>押出法ポリスチレンフォーム断熱材</v>
      </c>
      <c r="M43" s="27" t="str">
        <f>C40&amp;D43&amp;E43</f>
        <v>3種bA</v>
      </c>
      <c r="N43" s="27" t="str">
        <f t="shared" si="2"/>
        <v>押出法ポリスチレンフォーム断熱材 3種bA</v>
      </c>
      <c r="O43" s="33" t="s">
        <v>4215</v>
      </c>
    </row>
    <row r="44" spans="2:15" ht="19.5" customHeight="1">
      <c r="B44" s="761"/>
      <c r="C44" s="766"/>
      <c r="D44" s="766"/>
      <c r="E44" s="51" t="s">
        <v>138</v>
      </c>
      <c r="F44" s="33" t="s">
        <v>149</v>
      </c>
      <c r="G44" s="33" t="str">
        <f t="shared" si="0"/>
        <v>押出法ポリスチレンフォーム断熱材 3種bC</v>
      </c>
      <c r="H44" s="33">
        <v>2.4E-2</v>
      </c>
      <c r="I44" s="53"/>
      <c r="J44" s="33" t="s">
        <v>193</v>
      </c>
      <c r="L44" s="27" t="str">
        <f t="shared" si="8"/>
        <v>押出法ポリスチレンフォーム断熱材</v>
      </c>
      <c r="M44" s="27" t="str">
        <f>C40&amp;D43&amp;E44</f>
        <v>3種bC</v>
      </c>
      <c r="N44" s="27" t="str">
        <f t="shared" si="2"/>
        <v>押出法ポリスチレンフォーム断熱材 3種bC</v>
      </c>
      <c r="O44" s="33" t="s">
        <v>4216</v>
      </c>
    </row>
    <row r="45" spans="2:15" ht="19.5" customHeight="1">
      <c r="B45" s="761"/>
      <c r="C45" s="766"/>
      <c r="D45" s="766"/>
      <c r="E45" s="51" t="s">
        <v>146</v>
      </c>
      <c r="F45" s="33" t="s">
        <v>150</v>
      </c>
      <c r="G45" s="33" t="str">
        <f t="shared" si="0"/>
        <v>押出法ポリスチレンフォーム断熱材 3種bD</v>
      </c>
      <c r="H45" s="33">
        <v>2.1999999999999999E-2</v>
      </c>
      <c r="I45" s="54"/>
      <c r="J45" s="33" t="s">
        <v>193</v>
      </c>
      <c r="L45" s="27" t="str">
        <f t="shared" si="8"/>
        <v>押出法ポリスチレンフォーム断熱材</v>
      </c>
      <c r="M45" s="27" t="str">
        <f>C40&amp;D43&amp;E45</f>
        <v>3種bD</v>
      </c>
      <c r="N45" s="27" t="str">
        <f t="shared" si="2"/>
        <v>押出法ポリスチレンフォーム断熱材 3種bD</v>
      </c>
      <c r="O45" s="33" t="s">
        <v>4217</v>
      </c>
    </row>
    <row r="46" spans="2:15" ht="19.5" customHeight="1">
      <c r="B46" s="762"/>
      <c r="C46" s="767"/>
      <c r="D46" s="767"/>
      <c r="E46" s="51" t="s">
        <v>151</v>
      </c>
      <c r="F46" s="33" t="s">
        <v>152</v>
      </c>
      <c r="G46" s="33" t="str">
        <f t="shared" si="0"/>
        <v>押出法ポリスチレンフォーム断熱材 3種bA Ⅰ、A Ⅱ</v>
      </c>
      <c r="H46" s="33">
        <v>2.8000000000000001E-2</v>
      </c>
      <c r="I46" s="33" t="s">
        <v>184</v>
      </c>
      <c r="J46" s="33" t="s">
        <v>193</v>
      </c>
      <c r="L46" s="27" t="str">
        <f t="shared" si="8"/>
        <v>押出法ポリスチレンフォーム断熱材</v>
      </c>
      <c r="M46" s="27" t="str">
        <f>C40&amp;D43&amp;E46</f>
        <v>3種bA Ⅰ、A Ⅱ</v>
      </c>
      <c r="N46" s="27" t="str">
        <f t="shared" si="2"/>
        <v>押出法ポリスチレンフォーム断熱材 3種bA Ⅰ、A Ⅱ</v>
      </c>
      <c r="O46" s="33" t="s">
        <v>4218</v>
      </c>
    </row>
    <row r="47" spans="2:15" ht="19.5" customHeight="1">
      <c r="B47" s="760" t="s">
        <v>189</v>
      </c>
      <c r="C47" s="46" t="s">
        <v>134</v>
      </c>
      <c r="D47" s="46" t="s">
        <v>153</v>
      </c>
      <c r="E47" s="51" t="s">
        <v>154</v>
      </c>
      <c r="F47" s="33" t="s">
        <v>155</v>
      </c>
      <c r="G47" s="33" t="str">
        <f t="shared" si="0"/>
        <v>硬質ウレタンフォーム断熱材 1種1号Ⅰ、Ⅱ</v>
      </c>
      <c r="H47" s="33">
        <v>2.9000000000000001E-2</v>
      </c>
      <c r="I47" s="33" t="s">
        <v>185</v>
      </c>
      <c r="J47" s="33" t="s">
        <v>193</v>
      </c>
      <c r="L47" s="27" t="str">
        <f>B47</f>
        <v>硬質ウレタンフォーム断熱材</v>
      </c>
      <c r="M47" s="27" t="str">
        <f>C47&amp;D47&amp;E47</f>
        <v>1種1号Ⅰ、Ⅱ</v>
      </c>
      <c r="N47" s="27" t="str">
        <f t="shared" si="2"/>
        <v>硬質ウレタンフォーム断熱材 1種1号Ⅰ、Ⅱ</v>
      </c>
      <c r="O47" s="33" t="s">
        <v>4219</v>
      </c>
    </row>
    <row r="48" spans="2:15" ht="19.5" customHeight="1">
      <c r="B48" s="761"/>
      <c r="C48" s="763" t="s">
        <v>140</v>
      </c>
      <c r="D48" s="46" t="s">
        <v>153</v>
      </c>
      <c r="E48" s="51" t="s">
        <v>151</v>
      </c>
      <c r="F48" s="33" t="s">
        <v>156</v>
      </c>
      <c r="G48" s="33" t="str">
        <f t="shared" si="0"/>
        <v>硬質ウレタンフォーム断熱材 2種1号A Ⅰ、A Ⅱ</v>
      </c>
      <c r="H48" s="33">
        <v>2.3E-2</v>
      </c>
      <c r="I48" s="52" t="s">
        <v>186</v>
      </c>
      <c r="J48" s="33" t="s">
        <v>193</v>
      </c>
      <c r="L48" s="27" t="str">
        <f t="shared" ref="L48:L57" si="9">L47</f>
        <v>硬質ウレタンフォーム断熱材</v>
      </c>
      <c r="M48" s="27" t="str">
        <f>C48&amp;D48&amp;E48</f>
        <v>2種1号A Ⅰ、A Ⅱ</v>
      </c>
      <c r="N48" s="27" t="str">
        <f t="shared" si="2"/>
        <v>硬質ウレタンフォーム断熱材 2種1号A Ⅰ、A Ⅱ</v>
      </c>
      <c r="O48" s="33" t="s">
        <v>4220</v>
      </c>
    </row>
    <row r="49" spans="2:15" ht="19.5" customHeight="1">
      <c r="B49" s="761"/>
      <c r="C49" s="766"/>
      <c r="D49" s="763" t="s">
        <v>157</v>
      </c>
      <c r="E49" s="51" t="s">
        <v>151</v>
      </c>
      <c r="F49" s="33" t="s">
        <v>158</v>
      </c>
      <c r="G49" s="33" t="str">
        <f t="shared" si="0"/>
        <v>硬質ウレタンフォーム断熱材 2種2号A Ⅰ、A Ⅱ</v>
      </c>
      <c r="H49" s="33">
        <v>2.4E-2</v>
      </c>
      <c r="I49" s="53"/>
      <c r="J49" s="33" t="s">
        <v>193</v>
      </c>
      <c r="L49" s="27" t="str">
        <f t="shared" si="9"/>
        <v>硬質ウレタンフォーム断熱材</v>
      </c>
      <c r="M49" s="27" t="str">
        <f>C48&amp;D49&amp;E49</f>
        <v>2種2号A Ⅰ、A Ⅱ</v>
      </c>
      <c r="N49" s="27" t="str">
        <f t="shared" si="2"/>
        <v>硬質ウレタンフォーム断熱材 2種2号A Ⅰ、A Ⅱ</v>
      </c>
      <c r="O49" s="33" t="s">
        <v>4221</v>
      </c>
    </row>
    <row r="50" spans="2:15" ht="19.5" customHeight="1">
      <c r="B50" s="761"/>
      <c r="C50" s="766"/>
      <c r="D50" s="766"/>
      <c r="E50" s="51" t="s">
        <v>159</v>
      </c>
      <c r="F50" s="33" t="s">
        <v>160</v>
      </c>
      <c r="G50" s="33" t="str">
        <f t="shared" si="0"/>
        <v>硬質ウレタンフォーム断熱材 2種2号C Ⅰ、C Ⅱ</v>
      </c>
      <c r="H50" s="33">
        <v>2.1999999999999999E-2</v>
      </c>
      <c r="I50" s="53"/>
      <c r="J50" s="33" t="s">
        <v>193</v>
      </c>
      <c r="L50" s="27" t="str">
        <f t="shared" si="9"/>
        <v>硬質ウレタンフォーム断熱材</v>
      </c>
      <c r="M50" s="27" t="str">
        <f>C48&amp;D49&amp;E50</f>
        <v>2種2号C Ⅰ、C Ⅱ</v>
      </c>
      <c r="N50" s="27" t="str">
        <f t="shared" si="2"/>
        <v>硬質ウレタンフォーム断熱材 2種2号C Ⅰ、C Ⅱ</v>
      </c>
      <c r="O50" s="33" t="s">
        <v>4222</v>
      </c>
    </row>
    <row r="51" spans="2:15" ht="19.5" customHeight="1">
      <c r="B51" s="761"/>
      <c r="C51" s="766"/>
      <c r="D51" s="766"/>
      <c r="E51" s="51" t="s">
        <v>161</v>
      </c>
      <c r="F51" s="33" t="s">
        <v>162</v>
      </c>
      <c r="G51" s="33" t="str">
        <f t="shared" si="0"/>
        <v>硬質ウレタンフォーム断熱材 2種2号D Ⅰ、D Ⅱ</v>
      </c>
      <c r="H51" s="33">
        <v>2.1000000000000001E-2</v>
      </c>
      <c r="I51" s="53"/>
      <c r="J51" s="33" t="s">
        <v>193</v>
      </c>
      <c r="L51" s="27" t="str">
        <f t="shared" si="9"/>
        <v>硬質ウレタンフォーム断熱材</v>
      </c>
      <c r="M51" s="27" t="str">
        <f>C48&amp;D49&amp;E51</f>
        <v>2種2号D Ⅰ、D Ⅱ</v>
      </c>
      <c r="N51" s="27" t="str">
        <f t="shared" si="2"/>
        <v>硬質ウレタンフォーム断熱材 2種2号D Ⅰ、D Ⅱ</v>
      </c>
      <c r="O51" s="33" t="s">
        <v>4223</v>
      </c>
    </row>
    <row r="52" spans="2:15" ht="19.5" customHeight="1">
      <c r="B52" s="761"/>
      <c r="C52" s="766"/>
      <c r="D52" s="766"/>
      <c r="E52" s="51" t="s">
        <v>163</v>
      </c>
      <c r="F52" s="33" t="s">
        <v>164</v>
      </c>
      <c r="G52" s="33" t="str">
        <f t="shared" si="0"/>
        <v>硬質ウレタンフォーム断熱材 2種2号ＥⅠ、ＥⅡ</v>
      </c>
      <c r="H52" s="33">
        <v>0.02</v>
      </c>
      <c r="I52" s="53"/>
      <c r="J52" s="33" t="s">
        <v>193</v>
      </c>
      <c r="L52" s="27" t="str">
        <f t="shared" si="9"/>
        <v>硬質ウレタンフォーム断熱材</v>
      </c>
      <c r="M52" s="27" t="str">
        <f>C48&amp;D49&amp;E52</f>
        <v>2種2号ＥⅠ、ＥⅡ</v>
      </c>
      <c r="N52" s="27" t="str">
        <f t="shared" si="2"/>
        <v>硬質ウレタンフォーム断熱材 2種2号ＥⅠ、ＥⅡ</v>
      </c>
      <c r="O52" s="33" t="s">
        <v>4224</v>
      </c>
    </row>
    <row r="53" spans="2:15" ht="19.5" customHeight="1">
      <c r="B53" s="761"/>
      <c r="C53" s="767"/>
      <c r="D53" s="767"/>
      <c r="E53" s="51" t="s">
        <v>165</v>
      </c>
      <c r="F53" s="33" t="s">
        <v>166</v>
      </c>
      <c r="G53" s="33" t="str">
        <f t="shared" si="0"/>
        <v>硬質ウレタンフォーム断熱材 2種2号ＧⅠ、ＧⅡ</v>
      </c>
      <c r="H53" s="33">
        <v>1.7999999999999999E-2</v>
      </c>
      <c r="I53" s="54"/>
      <c r="J53" s="33" t="s">
        <v>193</v>
      </c>
      <c r="L53" s="27" t="str">
        <f t="shared" si="9"/>
        <v>硬質ウレタンフォーム断熱材</v>
      </c>
      <c r="M53" s="27" t="str">
        <f>C48&amp;D49&amp;E53</f>
        <v>2種2号ＧⅠ、ＧⅡ</v>
      </c>
      <c r="N53" s="27" t="str">
        <f t="shared" si="2"/>
        <v>硬質ウレタンフォーム断熱材 2種2号ＧⅠ、ＧⅡ</v>
      </c>
      <c r="O53" s="33" t="s">
        <v>4225</v>
      </c>
    </row>
    <row r="54" spans="2:15" ht="19.5" customHeight="1">
      <c r="B54" s="761"/>
      <c r="C54" s="763" t="s">
        <v>142</v>
      </c>
      <c r="D54" s="763" t="s">
        <v>153</v>
      </c>
      <c r="E54" s="51" t="s">
        <v>159</v>
      </c>
      <c r="F54" s="33" t="s">
        <v>167</v>
      </c>
      <c r="G54" s="33" t="str">
        <f t="shared" si="0"/>
        <v>硬質ウレタンフォーム断熱材 3種1号C Ⅰ、C Ⅱ</v>
      </c>
      <c r="H54" s="33">
        <v>2.4E-2</v>
      </c>
      <c r="I54" s="52" t="s">
        <v>187</v>
      </c>
      <c r="J54" s="33" t="s">
        <v>193</v>
      </c>
      <c r="L54" s="27" t="str">
        <f t="shared" si="9"/>
        <v>硬質ウレタンフォーム断熱材</v>
      </c>
      <c r="M54" s="27" t="str">
        <f>C54&amp;D54&amp;E54</f>
        <v>3種1号C Ⅰ、C Ⅱ</v>
      </c>
      <c r="N54" s="27" t="str">
        <f t="shared" si="2"/>
        <v>硬質ウレタンフォーム断熱材 3種1号C Ⅰ、C Ⅱ</v>
      </c>
      <c r="O54" s="33" t="s">
        <v>4226</v>
      </c>
    </row>
    <row r="55" spans="2:15" ht="19.5" customHeight="1">
      <c r="B55" s="761"/>
      <c r="C55" s="766"/>
      <c r="D55" s="767"/>
      <c r="E55" s="51" t="s">
        <v>161</v>
      </c>
      <c r="F55" s="33" t="s">
        <v>168</v>
      </c>
      <c r="G55" s="33" t="str">
        <f t="shared" si="0"/>
        <v>硬質ウレタンフォーム断熱材 3種1号D Ⅰ、D Ⅱ</v>
      </c>
      <c r="H55" s="33">
        <v>2.3E-2</v>
      </c>
      <c r="I55" s="53"/>
      <c r="J55" s="33" t="s">
        <v>193</v>
      </c>
      <c r="L55" s="27" t="str">
        <f t="shared" si="9"/>
        <v>硬質ウレタンフォーム断熱材</v>
      </c>
      <c r="M55" s="27" t="str">
        <f>C54&amp;D54&amp;E55</f>
        <v>3種1号D Ⅰ、D Ⅱ</v>
      </c>
      <c r="N55" s="27" t="str">
        <f t="shared" si="2"/>
        <v>硬質ウレタンフォーム断熱材 3種1号D Ⅰ、D Ⅱ</v>
      </c>
      <c r="O55" s="33" t="s">
        <v>4227</v>
      </c>
    </row>
    <row r="56" spans="2:15" ht="19.5" customHeight="1">
      <c r="B56" s="761"/>
      <c r="C56" s="766"/>
      <c r="D56" s="763" t="s">
        <v>157</v>
      </c>
      <c r="E56" s="51" t="s">
        <v>159</v>
      </c>
      <c r="F56" s="33" t="s">
        <v>169</v>
      </c>
      <c r="G56" s="33" t="str">
        <f t="shared" si="0"/>
        <v>硬質ウレタンフォーム断熱材 3種2号C Ⅰ、C Ⅱ</v>
      </c>
      <c r="H56" s="33">
        <v>2.4E-2</v>
      </c>
      <c r="I56" s="53"/>
      <c r="J56" s="33" t="s">
        <v>193</v>
      </c>
      <c r="L56" s="27" t="str">
        <f t="shared" si="9"/>
        <v>硬質ウレタンフォーム断熱材</v>
      </c>
      <c r="M56" s="27" t="str">
        <f>C54&amp;D56&amp;E56</f>
        <v>3種2号C Ⅰ、C Ⅱ</v>
      </c>
      <c r="N56" s="27" t="str">
        <f t="shared" si="2"/>
        <v>硬質ウレタンフォーム断熱材 3種2号C Ⅰ、C Ⅱ</v>
      </c>
      <c r="O56" s="33" t="s">
        <v>4228</v>
      </c>
    </row>
    <row r="57" spans="2:15" ht="19.5" customHeight="1">
      <c r="B57" s="762"/>
      <c r="C57" s="767"/>
      <c r="D57" s="767"/>
      <c r="E57" s="51" t="s">
        <v>161</v>
      </c>
      <c r="F57" s="33" t="s">
        <v>170</v>
      </c>
      <c r="G57" s="33" t="str">
        <f t="shared" si="0"/>
        <v>硬質ウレタンフォーム断熱材 3種2号D Ⅰ、D Ⅱ</v>
      </c>
      <c r="H57" s="33">
        <v>2.3E-2</v>
      </c>
      <c r="I57" s="54"/>
      <c r="J57" s="33" t="s">
        <v>193</v>
      </c>
      <c r="L57" s="27" t="str">
        <f t="shared" si="9"/>
        <v>硬質ウレタンフォーム断熱材</v>
      </c>
      <c r="M57" s="27" t="str">
        <f>C54&amp;D56&amp;E57</f>
        <v>3種2号D Ⅰ、D Ⅱ</v>
      </c>
      <c r="N57" s="27" t="str">
        <f t="shared" si="2"/>
        <v>硬質ウレタンフォーム断熱材 3種2号D Ⅰ、D Ⅱ</v>
      </c>
      <c r="O57" s="33" t="s">
        <v>4229</v>
      </c>
    </row>
    <row r="58" spans="2:15" ht="19.5" customHeight="1">
      <c r="B58" s="760" t="s">
        <v>190</v>
      </c>
      <c r="C58" s="763" t="s">
        <v>134</v>
      </c>
      <c r="D58" s="51" t="s">
        <v>153</v>
      </c>
      <c r="E58" s="51"/>
      <c r="F58" s="33" t="s">
        <v>171</v>
      </c>
      <c r="G58" s="33" t="str">
        <f t="shared" si="0"/>
        <v>ポリエチレンフォーム断熱材 1種1号</v>
      </c>
      <c r="H58" s="33">
        <v>4.2000000000000003E-2</v>
      </c>
      <c r="I58" s="52"/>
      <c r="J58" s="33" t="s">
        <v>193</v>
      </c>
      <c r="L58" s="27" t="str">
        <f>B58</f>
        <v>ポリエチレンフォーム断熱材</v>
      </c>
      <c r="M58" s="27" t="str">
        <f>C58&amp;D58</f>
        <v>1種1号</v>
      </c>
      <c r="N58" s="27" t="str">
        <f t="shared" si="2"/>
        <v>ポリエチレンフォーム断熱材 1種1号</v>
      </c>
      <c r="O58" s="33" t="s">
        <v>4230</v>
      </c>
    </row>
    <row r="59" spans="2:15" ht="19.5" customHeight="1">
      <c r="B59" s="761"/>
      <c r="C59" s="767"/>
      <c r="D59" s="51" t="s">
        <v>157</v>
      </c>
      <c r="E59" s="51"/>
      <c r="F59" s="33" t="s">
        <v>172</v>
      </c>
      <c r="G59" s="33" t="str">
        <f t="shared" si="0"/>
        <v>ポリエチレンフォーム断熱材 1種2号</v>
      </c>
      <c r="H59" s="33">
        <v>4.2000000000000003E-2</v>
      </c>
      <c r="I59" s="53"/>
      <c r="J59" s="33" t="s">
        <v>193</v>
      </c>
      <c r="L59" s="27" t="str">
        <f t="shared" ref="L59:L61" si="10">L58</f>
        <v>ポリエチレンフォーム断熱材</v>
      </c>
      <c r="M59" s="27" t="str">
        <f>C58&amp;D59</f>
        <v>1種2号</v>
      </c>
      <c r="N59" s="27" t="str">
        <f t="shared" si="2"/>
        <v>ポリエチレンフォーム断熱材 1種2号</v>
      </c>
      <c r="O59" s="33" t="s">
        <v>4231</v>
      </c>
    </row>
    <row r="60" spans="2:15" ht="19.5" customHeight="1">
      <c r="B60" s="761"/>
      <c r="C60" s="55" t="s">
        <v>140</v>
      </c>
      <c r="D60" s="51"/>
      <c r="E60" s="51"/>
      <c r="F60" s="33" t="s">
        <v>173</v>
      </c>
      <c r="G60" s="33" t="str">
        <f t="shared" si="0"/>
        <v>ポリエチレンフォーム断熱材 2種</v>
      </c>
      <c r="H60" s="33">
        <v>3.7999999999999999E-2</v>
      </c>
      <c r="I60" s="53"/>
      <c r="J60" s="33" t="s">
        <v>193</v>
      </c>
      <c r="L60" s="27" t="str">
        <f t="shared" si="10"/>
        <v>ポリエチレンフォーム断熱材</v>
      </c>
      <c r="M60" s="27" t="str">
        <f>C60</f>
        <v>2種</v>
      </c>
      <c r="N60" s="27" t="str">
        <f t="shared" si="2"/>
        <v>ポリエチレンフォーム断熱材 2種</v>
      </c>
      <c r="O60" s="33" t="s">
        <v>4232</v>
      </c>
    </row>
    <row r="61" spans="2:15" ht="19.5" customHeight="1">
      <c r="B61" s="762"/>
      <c r="C61" s="55" t="s">
        <v>142</v>
      </c>
      <c r="D61" s="51"/>
      <c r="E61" s="51"/>
      <c r="F61" s="33" t="s">
        <v>174</v>
      </c>
      <c r="G61" s="33" t="str">
        <f t="shared" si="0"/>
        <v>ポリエチレンフォーム断熱材 3種</v>
      </c>
      <c r="H61" s="33">
        <v>3.4000000000000002E-2</v>
      </c>
      <c r="I61" s="54"/>
      <c r="J61" s="33" t="s">
        <v>193</v>
      </c>
      <c r="L61" s="27" t="str">
        <f t="shared" si="10"/>
        <v>ポリエチレンフォーム断熱材</v>
      </c>
      <c r="M61" s="27" t="str">
        <f>C61</f>
        <v>3種</v>
      </c>
      <c r="N61" s="27" t="str">
        <f t="shared" si="2"/>
        <v>ポリエチレンフォーム断熱材 3種</v>
      </c>
      <c r="O61" s="33" t="s">
        <v>4233</v>
      </c>
    </row>
    <row r="62" spans="2:15" ht="19.5" customHeight="1">
      <c r="B62" s="760" t="s">
        <v>191</v>
      </c>
      <c r="C62" s="768" t="s">
        <v>134</v>
      </c>
      <c r="D62" s="763" t="s">
        <v>157</v>
      </c>
      <c r="E62" s="46" t="s">
        <v>159</v>
      </c>
      <c r="F62" s="33" t="s">
        <v>175</v>
      </c>
      <c r="G62" s="33" t="str">
        <f t="shared" si="0"/>
        <v>フェノールフォーム断熱材 1種2号C Ⅰ、C Ⅱ</v>
      </c>
      <c r="H62" s="33">
        <v>0.02</v>
      </c>
      <c r="I62" s="52"/>
      <c r="J62" s="33" t="s">
        <v>193</v>
      </c>
      <c r="L62" s="27" t="str">
        <f>B62</f>
        <v>フェノールフォーム断熱材</v>
      </c>
      <c r="M62" s="27" t="str">
        <f>C62&amp;D62&amp;E62</f>
        <v>1種2号C Ⅰ、C Ⅱ</v>
      </c>
      <c r="N62" s="27" t="str">
        <f t="shared" si="2"/>
        <v>フェノールフォーム断熱材 1種2号C Ⅰ、C Ⅱ</v>
      </c>
      <c r="O62" s="33" t="s">
        <v>4234</v>
      </c>
    </row>
    <row r="63" spans="2:15" ht="19.5" customHeight="1">
      <c r="B63" s="761"/>
      <c r="C63" s="766"/>
      <c r="D63" s="764"/>
      <c r="E63" s="46" t="s">
        <v>161</v>
      </c>
      <c r="F63" s="33" t="s">
        <v>176</v>
      </c>
      <c r="G63" s="33" t="str">
        <f t="shared" si="0"/>
        <v>フェノールフォーム断熱材 1種2号D Ⅰ、D Ⅱ</v>
      </c>
      <c r="H63" s="33">
        <v>1.9E-2</v>
      </c>
      <c r="I63" s="53"/>
      <c r="J63" s="33" t="s">
        <v>193</v>
      </c>
      <c r="L63" s="27" t="str">
        <f t="shared" ref="L63:L67" si="11">L62</f>
        <v>フェノールフォーム断熱材</v>
      </c>
      <c r="M63" s="27" t="str">
        <f>C62&amp;D62&amp;E63</f>
        <v>1種2号D Ⅰ、D Ⅱ</v>
      </c>
      <c r="N63" s="27" t="str">
        <f t="shared" si="2"/>
        <v>フェノールフォーム断熱材 1種2号D Ⅰ、D Ⅱ</v>
      </c>
      <c r="O63" s="33" t="s">
        <v>4235</v>
      </c>
    </row>
    <row r="64" spans="2:15" ht="19.5" customHeight="1">
      <c r="B64" s="761"/>
      <c r="C64" s="766"/>
      <c r="D64" s="765"/>
      <c r="E64" s="46" t="s">
        <v>177</v>
      </c>
      <c r="F64" s="33" t="s">
        <v>178</v>
      </c>
      <c r="G64" s="33" t="str">
        <f t="shared" si="0"/>
        <v>フェノールフォーム断熱材 1種2号E Ⅰ、E Ⅱ</v>
      </c>
      <c r="H64" s="33">
        <v>1.7999999999999999E-2</v>
      </c>
      <c r="I64" s="53"/>
      <c r="J64" s="33" t="s">
        <v>193</v>
      </c>
      <c r="L64" s="27" t="str">
        <f t="shared" si="11"/>
        <v>フェノールフォーム断熱材</v>
      </c>
      <c r="M64" s="27" t="str">
        <f>C62&amp;D62&amp;E64</f>
        <v>1種2号E Ⅰ、E Ⅱ</v>
      </c>
      <c r="N64" s="27" t="str">
        <f t="shared" si="2"/>
        <v>フェノールフォーム断熱材 1種2号E Ⅰ、E Ⅱ</v>
      </c>
      <c r="O64" s="33" t="s">
        <v>4236</v>
      </c>
    </row>
    <row r="65" spans="2:15" ht="19.5" customHeight="1">
      <c r="B65" s="761"/>
      <c r="C65" s="766"/>
      <c r="D65" s="763" t="s">
        <v>179</v>
      </c>
      <c r="E65" s="46" t="s">
        <v>159</v>
      </c>
      <c r="F65" s="33" t="s">
        <v>180</v>
      </c>
      <c r="G65" s="33" t="str">
        <f t="shared" si="0"/>
        <v>フェノールフォーム断熱材 1種3号C Ⅰ、C Ⅱ</v>
      </c>
      <c r="H65" s="33">
        <v>0.02</v>
      </c>
      <c r="I65" s="53"/>
      <c r="J65" s="33" t="s">
        <v>193</v>
      </c>
      <c r="L65" s="27" t="str">
        <f t="shared" si="11"/>
        <v>フェノールフォーム断熱材</v>
      </c>
      <c r="M65" s="27" t="str">
        <f>C62&amp;D65&amp;E65</f>
        <v>1種3号C Ⅰ、C Ⅱ</v>
      </c>
      <c r="N65" s="27" t="str">
        <f t="shared" si="2"/>
        <v>フェノールフォーム断熱材 1種3号C Ⅰ、C Ⅱ</v>
      </c>
      <c r="O65" s="33" t="s">
        <v>4237</v>
      </c>
    </row>
    <row r="66" spans="2:15" ht="19.5" customHeight="1">
      <c r="B66" s="761"/>
      <c r="C66" s="766"/>
      <c r="D66" s="766"/>
      <c r="E66" s="46" t="s">
        <v>161</v>
      </c>
      <c r="F66" s="33" t="s">
        <v>181</v>
      </c>
      <c r="G66" s="33" t="str">
        <f t="shared" si="0"/>
        <v>フェノールフォーム断熱材 1種3号D Ⅰ、D Ⅱ</v>
      </c>
      <c r="H66" s="33">
        <v>1.9E-2</v>
      </c>
      <c r="I66" s="53"/>
      <c r="J66" s="33" t="s">
        <v>193</v>
      </c>
      <c r="L66" s="27" t="str">
        <f t="shared" si="11"/>
        <v>フェノールフォーム断熱材</v>
      </c>
      <c r="M66" s="27" t="str">
        <f>C62&amp;D65&amp;E66</f>
        <v>1種3号D Ⅰ、D Ⅱ</v>
      </c>
      <c r="N66" s="27" t="str">
        <f t="shared" si="2"/>
        <v>フェノールフォーム断熱材 1種3号D Ⅰ、D Ⅱ</v>
      </c>
      <c r="O66" s="33" t="s">
        <v>4238</v>
      </c>
    </row>
    <row r="67" spans="2:15" ht="19.5" customHeight="1">
      <c r="B67" s="762"/>
      <c r="C67" s="767"/>
      <c r="D67" s="767"/>
      <c r="E67" s="46" t="s">
        <v>177</v>
      </c>
      <c r="F67" s="33" t="s">
        <v>182</v>
      </c>
      <c r="G67" s="33" t="str">
        <f t="shared" si="0"/>
        <v>フェノールフォーム断熱材 1種3号E Ⅰ、E Ⅱ</v>
      </c>
      <c r="H67" s="33">
        <v>1.7999999999999999E-2</v>
      </c>
      <c r="I67" s="54"/>
      <c r="J67" s="33" t="s">
        <v>193</v>
      </c>
      <c r="L67" s="27" t="str">
        <f t="shared" si="11"/>
        <v>フェノールフォーム断熱材</v>
      </c>
      <c r="M67" s="27" t="str">
        <f>C62&amp;D65&amp;E67</f>
        <v>1種3号E Ⅰ、E Ⅱ</v>
      </c>
      <c r="N67" s="27" t="str">
        <f t="shared" si="2"/>
        <v>フェノールフォーム断熱材 1種3号E Ⅰ、E Ⅱ</v>
      </c>
      <c r="O67" s="33" t="s">
        <v>4239</v>
      </c>
    </row>
    <row r="68" spans="2:15" ht="19.5" customHeight="1">
      <c r="B68" s="760" t="s">
        <v>202</v>
      </c>
      <c r="C68" s="763" t="s">
        <v>194</v>
      </c>
      <c r="D68" s="56">
        <v>1</v>
      </c>
      <c r="E68" s="57"/>
      <c r="F68" s="33" t="s">
        <v>195</v>
      </c>
      <c r="G68" s="33" t="str">
        <f t="shared" si="0"/>
        <v>吹付け硬質
ウレタンフォーム Ａ種1</v>
      </c>
      <c r="H68" s="33">
        <v>3.4000000000000002E-2</v>
      </c>
      <c r="I68" s="33"/>
      <c r="J68" s="33" t="s">
        <v>203</v>
      </c>
      <c r="L68" s="27" t="str">
        <f>B68</f>
        <v>吹付け硬質
ウレタンフォーム</v>
      </c>
      <c r="M68" s="27" t="str">
        <f>C$68&amp;D68</f>
        <v>Ａ種1</v>
      </c>
      <c r="N68" s="27" t="str">
        <f t="shared" si="2"/>
        <v>吹付け硬質
ウレタンフォーム Ａ種1</v>
      </c>
      <c r="O68" s="33" t="s">
        <v>4240</v>
      </c>
    </row>
    <row r="69" spans="2:15" ht="19.5" customHeight="1">
      <c r="B69" s="761"/>
      <c r="C69" s="764"/>
      <c r="D69" s="56" t="s">
        <v>196</v>
      </c>
      <c r="E69" s="57"/>
      <c r="F69" s="33" t="s">
        <v>197</v>
      </c>
      <c r="G69" s="33" t="str">
        <f t="shared" si="0"/>
        <v>吹付け硬質
ウレタンフォーム Ａ種1H</v>
      </c>
      <c r="H69" s="33">
        <v>2.5999999999999999E-2</v>
      </c>
      <c r="I69" s="33"/>
      <c r="J69" s="33" t="s">
        <v>203</v>
      </c>
      <c r="L69" s="27" t="str">
        <f t="shared" ref="L69:L72" si="12">L68</f>
        <v>吹付け硬質
ウレタンフォーム</v>
      </c>
      <c r="M69" s="27" t="str">
        <f>C$68&amp;D69</f>
        <v>Ａ種1H</v>
      </c>
      <c r="N69" s="27" t="str">
        <f t="shared" si="2"/>
        <v>吹付け硬質
ウレタンフォーム Ａ種1H</v>
      </c>
      <c r="O69" s="33" t="s">
        <v>4241</v>
      </c>
    </row>
    <row r="70" spans="2:15" ht="19.5" customHeight="1">
      <c r="B70" s="761"/>
      <c r="C70" s="764"/>
      <c r="D70" s="56">
        <v>2</v>
      </c>
      <c r="E70" s="57"/>
      <c r="F70" s="33" t="s">
        <v>198</v>
      </c>
      <c r="G70" s="33" t="str">
        <f t="shared" si="0"/>
        <v>吹付け硬質
ウレタンフォーム Ａ種2</v>
      </c>
      <c r="H70" s="33">
        <v>3.4000000000000002E-2</v>
      </c>
      <c r="I70" s="33"/>
      <c r="J70" s="33" t="s">
        <v>203</v>
      </c>
      <c r="L70" s="27" t="str">
        <f t="shared" si="12"/>
        <v>吹付け硬質
ウレタンフォーム</v>
      </c>
      <c r="M70" s="27" t="str">
        <f>C$68&amp;D70</f>
        <v>Ａ種2</v>
      </c>
      <c r="N70" s="27" t="str">
        <f t="shared" si="2"/>
        <v>吹付け硬質
ウレタンフォーム Ａ種2</v>
      </c>
      <c r="O70" s="33" t="s">
        <v>4242</v>
      </c>
    </row>
    <row r="71" spans="2:15" ht="19.5" customHeight="1">
      <c r="B71" s="761"/>
      <c r="C71" s="764"/>
      <c r="D71" s="56" t="s">
        <v>199</v>
      </c>
      <c r="E71" s="57"/>
      <c r="F71" s="33" t="s">
        <v>200</v>
      </c>
      <c r="G71" s="33" t="str">
        <f t="shared" ref="G71:G87" si="13">N71</f>
        <v>吹付け硬質
ウレタンフォーム Ａ種2H</v>
      </c>
      <c r="H71" s="33">
        <v>2.5999999999999999E-2</v>
      </c>
      <c r="I71" s="33"/>
      <c r="J71" s="33" t="s">
        <v>203</v>
      </c>
      <c r="L71" s="27" t="str">
        <f t="shared" si="12"/>
        <v>吹付け硬質
ウレタンフォーム</v>
      </c>
      <c r="M71" s="27" t="str">
        <f>C$68&amp;D71</f>
        <v>Ａ種2H</v>
      </c>
      <c r="N71" s="27" t="str">
        <f t="shared" ref="N71:N87" si="14">L71&amp;" "&amp;M71</f>
        <v>吹付け硬質
ウレタンフォーム Ａ種2H</v>
      </c>
      <c r="O71" s="33" t="s">
        <v>4243</v>
      </c>
    </row>
    <row r="72" spans="2:15" ht="19.5" customHeight="1">
      <c r="B72" s="762"/>
      <c r="C72" s="765"/>
      <c r="D72" s="56">
        <v>3</v>
      </c>
      <c r="E72" s="57"/>
      <c r="F72" s="33" t="s">
        <v>201</v>
      </c>
      <c r="G72" s="33" t="str">
        <f t="shared" si="13"/>
        <v>吹付け硬質
ウレタンフォーム Ａ種3</v>
      </c>
      <c r="H72" s="33">
        <v>0.04</v>
      </c>
      <c r="I72" s="33"/>
      <c r="J72" s="33" t="s">
        <v>203</v>
      </c>
      <c r="L72" s="27" t="str">
        <f t="shared" si="12"/>
        <v>吹付け硬質
ウレタンフォーム</v>
      </c>
      <c r="M72" s="27" t="str">
        <f>C$68&amp;D72</f>
        <v>Ａ種3</v>
      </c>
      <c r="N72" s="27" t="str">
        <f t="shared" si="14"/>
        <v>吹付け硬質
ウレタンフォーム Ａ種3</v>
      </c>
      <c r="O72" s="33" t="s">
        <v>4244</v>
      </c>
    </row>
    <row r="73" spans="2:15" ht="19.5" customHeight="1">
      <c r="B73" s="751" t="s">
        <v>221</v>
      </c>
      <c r="C73" s="752"/>
      <c r="D73" s="752"/>
      <c r="E73" s="753"/>
      <c r="F73" s="33" t="s">
        <v>204</v>
      </c>
      <c r="G73" s="33" t="str">
        <f t="shared" si="13"/>
        <v>吹込み用グラスウール断熱材 LFGW1052</v>
      </c>
      <c r="H73" s="33">
        <v>5.1999999999999998E-2</v>
      </c>
      <c r="I73" s="33" t="s">
        <v>219</v>
      </c>
      <c r="J73" s="33" t="s">
        <v>224</v>
      </c>
      <c r="L73" s="27" t="str">
        <f>B73</f>
        <v>吹込み用グラスウール断熱材</v>
      </c>
      <c r="M73" s="27" t="str">
        <f>F73</f>
        <v>LFGW1052</v>
      </c>
      <c r="N73" s="27" t="str">
        <f t="shared" si="14"/>
        <v>吹込み用グラスウール断熱材 LFGW1052</v>
      </c>
      <c r="O73" s="33" t="s">
        <v>4245</v>
      </c>
    </row>
    <row r="74" spans="2:15" ht="19.5" customHeight="1">
      <c r="B74" s="757"/>
      <c r="C74" s="758"/>
      <c r="D74" s="758"/>
      <c r="E74" s="759"/>
      <c r="F74" s="33" t="s">
        <v>205</v>
      </c>
      <c r="G74" s="33" t="str">
        <f t="shared" si="13"/>
        <v>吹込み用グラスウール断熱材 LFGW1352</v>
      </c>
      <c r="H74" s="33">
        <v>5.1999999999999998E-2</v>
      </c>
      <c r="I74" s="33"/>
      <c r="J74" s="33" t="s">
        <v>224</v>
      </c>
      <c r="L74" s="27" t="str">
        <f t="shared" ref="L74:L79" si="15">L73</f>
        <v>吹込み用グラスウール断熱材</v>
      </c>
      <c r="M74" s="27" t="str">
        <f t="shared" ref="M74:M87" si="16">F74</f>
        <v>LFGW1352</v>
      </c>
      <c r="N74" s="27" t="str">
        <f t="shared" si="14"/>
        <v>吹込み用グラスウール断熱材 LFGW1352</v>
      </c>
      <c r="O74" s="33" t="s">
        <v>4246</v>
      </c>
    </row>
    <row r="75" spans="2:15" ht="19.5" customHeight="1">
      <c r="B75" s="757"/>
      <c r="C75" s="758"/>
      <c r="D75" s="758"/>
      <c r="E75" s="759"/>
      <c r="F75" s="33" t="s">
        <v>206</v>
      </c>
      <c r="G75" s="33" t="str">
        <f t="shared" si="13"/>
        <v>吹込み用グラスウール断熱材 LFGW1852</v>
      </c>
      <c r="H75" s="33">
        <v>5.1999999999999998E-2</v>
      </c>
      <c r="I75" s="33"/>
      <c r="J75" s="33" t="s">
        <v>224</v>
      </c>
      <c r="L75" s="27" t="str">
        <f t="shared" si="15"/>
        <v>吹込み用グラスウール断熱材</v>
      </c>
      <c r="M75" s="27" t="str">
        <f t="shared" si="16"/>
        <v>LFGW1852</v>
      </c>
      <c r="N75" s="27" t="str">
        <f t="shared" si="14"/>
        <v>吹込み用グラスウール断熱材 LFGW1852</v>
      </c>
      <c r="O75" s="33" t="s">
        <v>4247</v>
      </c>
    </row>
    <row r="76" spans="2:15" ht="19.5" customHeight="1">
      <c r="B76" s="757"/>
      <c r="C76" s="758"/>
      <c r="D76" s="758"/>
      <c r="E76" s="759"/>
      <c r="F76" s="33" t="s">
        <v>207</v>
      </c>
      <c r="G76" s="33" t="str">
        <f t="shared" si="13"/>
        <v>吹込み用グラスウール断熱材 LFGW2040</v>
      </c>
      <c r="H76" s="33">
        <v>0.04</v>
      </c>
      <c r="I76" s="33" t="s">
        <v>220</v>
      </c>
      <c r="J76" s="33" t="s">
        <v>224</v>
      </c>
      <c r="L76" s="27" t="str">
        <f t="shared" si="15"/>
        <v>吹込み用グラスウール断熱材</v>
      </c>
      <c r="M76" s="27" t="str">
        <f t="shared" si="16"/>
        <v>LFGW2040</v>
      </c>
      <c r="N76" s="27" t="str">
        <f t="shared" si="14"/>
        <v>吹込み用グラスウール断熱材 LFGW2040</v>
      </c>
      <c r="O76" s="33" t="s">
        <v>4248</v>
      </c>
    </row>
    <row r="77" spans="2:15" ht="19.5" customHeight="1">
      <c r="B77" s="757"/>
      <c r="C77" s="758"/>
      <c r="D77" s="758"/>
      <c r="E77" s="759"/>
      <c r="F77" s="33" t="s">
        <v>208</v>
      </c>
      <c r="G77" s="33" t="str">
        <f t="shared" si="13"/>
        <v>吹込み用グラスウール断熱材 LFGW2238</v>
      </c>
      <c r="H77" s="33">
        <v>3.7999999999999999E-2</v>
      </c>
      <c r="I77" s="33"/>
      <c r="J77" s="33" t="s">
        <v>224</v>
      </c>
      <c r="L77" s="27" t="str">
        <f t="shared" si="15"/>
        <v>吹込み用グラスウール断熱材</v>
      </c>
      <c r="M77" s="27" t="str">
        <f t="shared" si="16"/>
        <v>LFGW2238</v>
      </c>
      <c r="N77" s="27" t="str">
        <f t="shared" si="14"/>
        <v>吹込み用グラスウール断熱材 LFGW2238</v>
      </c>
      <c r="O77" s="33" t="s">
        <v>4249</v>
      </c>
    </row>
    <row r="78" spans="2:15" ht="19.5" customHeight="1">
      <c r="B78" s="757"/>
      <c r="C78" s="758"/>
      <c r="D78" s="758"/>
      <c r="E78" s="759"/>
      <c r="F78" s="33" t="s">
        <v>209</v>
      </c>
      <c r="G78" s="33" t="str">
        <f t="shared" si="13"/>
        <v>吹込み用グラスウール断熱材 LFGW3240</v>
      </c>
      <c r="H78" s="33">
        <v>0.04</v>
      </c>
      <c r="I78" s="33"/>
      <c r="J78" s="33" t="s">
        <v>224</v>
      </c>
      <c r="L78" s="27" t="str">
        <f t="shared" si="15"/>
        <v>吹込み用グラスウール断熱材</v>
      </c>
      <c r="M78" s="27" t="str">
        <f t="shared" si="16"/>
        <v>LFGW3240</v>
      </c>
      <c r="N78" s="27" t="str">
        <f t="shared" si="14"/>
        <v>吹込み用グラスウール断熱材 LFGW3240</v>
      </c>
      <c r="O78" s="33" t="s">
        <v>4250</v>
      </c>
    </row>
    <row r="79" spans="2:15" ht="19.5" customHeight="1">
      <c r="B79" s="754"/>
      <c r="C79" s="755"/>
      <c r="D79" s="755"/>
      <c r="E79" s="756"/>
      <c r="F79" s="33" t="s">
        <v>210</v>
      </c>
      <c r="G79" s="33" t="str">
        <f t="shared" si="13"/>
        <v>吹込み用グラスウール断熱材 LFGW3238</v>
      </c>
      <c r="H79" s="33">
        <v>3.7999999999999999E-2</v>
      </c>
      <c r="I79" s="33"/>
      <c r="J79" s="33" t="s">
        <v>224</v>
      </c>
      <c r="L79" s="27" t="str">
        <f t="shared" si="15"/>
        <v>吹込み用グラスウール断熱材</v>
      </c>
      <c r="M79" s="27" t="str">
        <f t="shared" si="16"/>
        <v>LFGW3238</v>
      </c>
      <c r="N79" s="27" t="str">
        <f t="shared" si="14"/>
        <v>吹込み用グラスウール断熱材 LFGW3238</v>
      </c>
      <c r="O79" s="33" t="s">
        <v>4251</v>
      </c>
    </row>
    <row r="80" spans="2:15" ht="19.5" customHeight="1">
      <c r="B80" s="751" t="s">
        <v>222</v>
      </c>
      <c r="C80" s="752"/>
      <c r="D80" s="752"/>
      <c r="E80" s="753"/>
      <c r="F80" s="33" t="s">
        <v>211</v>
      </c>
      <c r="G80" s="33" t="str">
        <f t="shared" si="13"/>
        <v>吹込み用ロックウール断熱材 LFRW2547</v>
      </c>
      <c r="H80" s="33">
        <v>4.7E-2</v>
      </c>
      <c r="I80" s="33" t="s">
        <v>219</v>
      </c>
      <c r="J80" s="33" t="s">
        <v>224</v>
      </c>
      <c r="L80" s="27" t="str">
        <f>B80</f>
        <v>吹込み用ロックウール断熱材</v>
      </c>
      <c r="M80" s="27" t="str">
        <f t="shared" si="16"/>
        <v>LFRW2547</v>
      </c>
      <c r="N80" s="27" t="str">
        <f t="shared" si="14"/>
        <v>吹込み用ロックウール断熱材 LFRW2547</v>
      </c>
      <c r="O80" s="33" t="s">
        <v>4252</v>
      </c>
    </row>
    <row r="81" spans="2:15" ht="19.5" customHeight="1">
      <c r="B81" s="754"/>
      <c r="C81" s="755"/>
      <c r="D81" s="755"/>
      <c r="E81" s="756"/>
      <c r="F81" s="33" t="s">
        <v>212</v>
      </c>
      <c r="G81" s="33" t="str">
        <f t="shared" si="13"/>
        <v>吹込み用ロックウール断熱材 LFRW6038</v>
      </c>
      <c r="H81" s="33">
        <v>3.7999999999999999E-2</v>
      </c>
      <c r="I81" s="33" t="s">
        <v>220</v>
      </c>
      <c r="J81" s="33" t="s">
        <v>224</v>
      </c>
      <c r="L81" s="27" t="str">
        <f>L80</f>
        <v>吹込み用ロックウール断熱材</v>
      </c>
      <c r="M81" s="27" t="str">
        <f t="shared" si="16"/>
        <v>LFRW6038</v>
      </c>
      <c r="N81" s="27" t="str">
        <f t="shared" si="14"/>
        <v>吹込み用ロックウール断熱材 LFRW6038</v>
      </c>
      <c r="O81" s="33" t="s">
        <v>4253</v>
      </c>
    </row>
    <row r="82" spans="2:15" ht="19.5" customHeight="1">
      <c r="B82" s="751" t="s">
        <v>223</v>
      </c>
      <c r="C82" s="752"/>
      <c r="D82" s="752"/>
      <c r="E82" s="753"/>
      <c r="F82" s="33" t="s">
        <v>213</v>
      </c>
      <c r="G82" s="33" t="str">
        <f t="shared" si="13"/>
        <v>吹込み用セルローズファイバー断熱材 LFCF2540</v>
      </c>
      <c r="H82" s="33">
        <v>0.04</v>
      </c>
      <c r="I82" s="33" t="s">
        <v>219</v>
      </c>
      <c r="J82" s="33" t="s">
        <v>224</v>
      </c>
      <c r="L82" s="27" t="str">
        <f>B82</f>
        <v>吹込み用セルローズファイバー断熱材</v>
      </c>
      <c r="M82" s="27" t="str">
        <f t="shared" si="16"/>
        <v>LFCF2540</v>
      </c>
      <c r="N82" s="27" t="str">
        <f t="shared" si="14"/>
        <v>吹込み用セルローズファイバー断熱材 LFCF2540</v>
      </c>
      <c r="O82" s="33" t="s">
        <v>4254</v>
      </c>
    </row>
    <row r="83" spans="2:15" ht="19.5" customHeight="1">
      <c r="B83" s="757"/>
      <c r="C83" s="758"/>
      <c r="D83" s="758"/>
      <c r="E83" s="759"/>
      <c r="F83" s="33" t="s">
        <v>214</v>
      </c>
      <c r="G83" s="33" t="str">
        <f t="shared" si="13"/>
        <v>吹込み用セルローズファイバー断熱材 LFCF4040</v>
      </c>
      <c r="H83" s="33">
        <v>0.04</v>
      </c>
      <c r="I83" s="33" t="s">
        <v>220</v>
      </c>
      <c r="J83" s="33" t="s">
        <v>224</v>
      </c>
      <c r="L83" s="27" t="str">
        <f t="shared" ref="L83:L87" si="17">L82</f>
        <v>吹込み用セルローズファイバー断熱材</v>
      </c>
      <c r="M83" s="27" t="str">
        <f t="shared" si="16"/>
        <v>LFCF4040</v>
      </c>
      <c r="N83" s="27" t="str">
        <f t="shared" si="14"/>
        <v>吹込み用セルローズファイバー断熱材 LFCF4040</v>
      </c>
      <c r="O83" s="33" t="s">
        <v>4255</v>
      </c>
    </row>
    <row r="84" spans="2:15" ht="19.5" customHeight="1">
      <c r="B84" s="757"/>
      <c r="C84" s="758"/>
      <c r="D84" s="758"/>
      <c r="E84" s="759"/>
      <c r="F84" s="33" t="s">
        <v>215</v>
      </c>
      <c r="G84" s="33" t="str">
        <f t="shared" si="13"/>
        <v>吹込み用セルローズファイバー断熱材 LFCF4540</v>
      </c>
      <c r="H84" s="33">
        <v>0.04</v>
      </c>
      <c r="I84" s="33"/>
      <c r="J84" s="33" t="s">
        <v>224</v>
      </c>
      <c r="L84" s="27" t="str">
        <f t="shared" si="17"/>
        <v>吹込み用セルローズファイバー断熱材</v>
      </c>
      <c r="M84" s="27" t="str">
        <f t="shared" si="16"/>
        <v>LFCF4540</v>
      </c>
      <c r="N84" s="27" t="str">
        <f t="shared" si="14"/>
        <v>吹込み用セルローズファイバー断熱材 LFCF4540</v>
      </c>
      <c r="O84" s="33" t="s">
        <v>4256</v>
      </c>
    </row>
    <row r="85" spans="2:15" ht="19.5" customHeight="1">
      <c r="B85" s="757"/>
      <c r="C85" s="758"/>
      <c r="D85" s="758"/>
      <c r="E85" s="759"/>
      <c r="F85" s="33" t="s">
        <v>216</v>
      </c>
      <c r="G85" s="33" t="str">
        <f t="shared" si="13"/>
        <v>吹込み用セルローズファイバー断熱材 LFCF5040</v>
      </c>
      <c r="H85" s="33">
        <v>0.04</v>
      </c>
      <c r="I85" s="33"/>
      <c r="J85" s="33" t="s">
        <v>224</v>
      </c>
      <c r="L85" s="27" t="str">
        <f t="shared" si="17"/>
        <v>吹込み用セルローズファイバー断熱材</v>
      </c>
      <c r="M85" s="27" t="str">
        <f t="shared" si="16"/>
        <v>LFCF5040</v>
      </c>
      <c r="N85" s="27" t="str">
        <f t="shared" si="14"/>
        <v>吹込み用セルローズファイバー断熱材 LFCF5040</v>
      </c>
      <c r="O85" s="33" t="s">
        <v>4257</v>
      </c>
    </row>
    <row r="86" spans="2:15" ht="19.5" customHeight="1">
      <c r="B86" s="757"/>
      <c r="C86" s="758"/>
      <c r="D86" s="758"/>
      <c r="E86" s="759"/>
      <c r="F86" s="33" t="s">
        <v>217</v>
      </c>
      <c r="G86" s="33" t="str">
        <f t="shared" si="13"/>
        <v>吹込み用セルローズファイバー断熱材 LFCF5540</v>
      </c>
      <c r="H86" s="33">
        <v>0.04</v>
      </c>
      <c r="I86" s="33"/>
      <c r="J86" s="33" t="s">
        <v>224</v>
      </c>
      <c r="L86" s="27" t="str">
        <f t="shared" si="17"/>
        <v>吹込み用セルローズファイバー断熱材</v>
      </c>
      <c r="M86" s="27" t="str">
        <f t="shared" si="16"/>
        <v>LFCF5540</v>
      </c>
      <c r="N86" s="27" t="str">
        <f t="shared" si="14"/>
        <v>吹込み用セルローズファイバー断熱材 LFCF5540</v>
      </c>
      <c r="O86" s="33" t="s">
        <v>4258</v>
      </c>
    </row>
    <row r="87" spans="2:15" ht="19.5" customHeight="1">
      <c r="B87" s="754"/>
      <c r="C87" s="755"/>
      <c r="D87" s="755"/>
      <c r="E87" s="756"/>
      <c r="F87" s="33" t="s">
        <v>218</v>
      </c>
      <c r="G87" s="33" t="str">
        <f t="shared" si="13"/>
        <v>吹込み用セルローズファイバー断熱材 LFCF6040</v>
      </c>
      <c r="H87" s="33">
        <v>0.04</v>
      </c>
      <c r="I87" s="33"/>
      <c r="J87" s="33" t="s">
        <v>224</v>
      </c>
      <c r="L87" s="27" t="str">
        <f t="shared" si="17"/>
        <v>吹込み用セルローズファイバー断熱材</v>
      </c>
      <c r="M87" s="27" t="str">
        <f t="shared" si="16"/>
        <v>LFCF6040</v>
      </c>
      <c r="N87" s="27" t="str">
        <f t="shared" si="14"/>
        <v>吹込み用セルローズファイバー断熱材 LFCF6040</v>
      </c>
      <c r="O87" s="33" t="s">
        <v>4259</v>
      </c>
    </row>
  </sheetData>
  <sheetProtection selectLockedCells="1"/>
  <mergeCells count="30">
    <mergeCell ref="B4:E4"/>
    <mergeCell ref="B25:B30"/>
    <mergeCell ref="B6:B24"/>
    <mergeCell ref="C6:D9"/>
    <mergeCell ref="C10:D24"/>
    <mergeCell ref="B47:B57"/>
    <mergeCell ref="B58:B61"/>
    <mergeCell ref="B62:B67"/>
    <mergeCell ref="B31:B32"/>
    <mergeCell ref="B33:B36"/>
    <mergeCell ref="B37:B46"/>
    <mergeCell ref="C48:C53"/>
    <mergeCell ref="C54:C57"/>
    <mergeCell ref="C58:C59"/>
    <mergeCell ref="C62:C67"/>
    <mergeCell ref="D37:D38"/>
    <mergeCell ref="D40:D42"/>
    <mergeCell ref="D43:D46"/>
    <mergeCell ref="D49:D53"/>
    <mergeCell ref="D54:D55"/>
    <mergeCell ref="D56:D57"/>
    <mergeCell ref="D62:D64"/>
    <mergeCell ref="D65:D67"/>
    <mergeCell ref="C37:C38"/>
    <mergeCell ref="C40:C46"/>
    <mergeCell ref="B80:E81"/>
    <mergeCell ref="B82:E87"/>
    <mergeCell ref="B68:B72"/>
    <mergeCell ref="C68:C72"/>
    <mergeCell ref="B73:E79"/>
  </mergeCells>
  <phoneticPr fontId="35"/>
  <dataValidations count="1">
    <dataValidation type="list" allowBlank="1" showInputMessage="1" showErrorMessage="1" sqref="J2" xr:uid="{E02E0F34-88E9-4CAD-A212-9E22C01CEE89}">
      <formula1>"　"</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B7386-F0E0-4DD6-A21B-7BB3009E20D1}">
  <sheetPr codeName="Sheet14"/>
  <dimension ref="B1:R39"/>
  <sheetViews>
    <sheetView showGridLines="0" workbookViewId="0">
      <selection activeCell="O14" sqref="O14"/>
    </sheetView>
  </sheetViews>
  <sheetFormatPr defaultRowHeight="18" customHeight="1"/>
  <cols>
    <col min="1" max="12" width="9" style="183"/>
    <col min="13" max="15" width="11.625" style="183" customWidth="1"/>
    <col min="16" max="17" width="9" style="183"/>
    <col min="18" max="18" width="11.625" style="183" customWidth="1"/>
    <col min="19" max="16384" width="9" style="183"/>
  </cols>
  <sheetData>
    <row r="1" spans="2:18" ht="18" customHeight="1">
      <c r="C1" s="75">
        <v>2</v>
      </c>
      <c r="D1" s="75">
        <v>3</v>
      </c>
      <c r="E1" s="75">
        <v>4</v>
      </c>
      <c r="F1" s="75">
        <v>5</v>
      </c>
      <c r="G1" s="75">
        <v>6</v>
      </c>
      <c r="H1" s="75">
        <v>7</v>
      </c>
      <c r="I1" s="75">
        <v>8</v>
      </c>
      <c r="J1" s="75">
        <v>9</v>
      </c>
    </row>
    <row r="2" spans="2:18" ht="18" customHeight="1">
      <c r="B2" s="1" t="s">
        <v>3933</v>
      </c>
      <c r="G2" s="1" t="s">
        <v>3951</v>
      </c>
      <c r="L2" s="193" t="s">
        <v>3935</v>
      </c>
      <c r="O2" s="1" t="s">
        <v>3925</v>
      </c>
      <c r="Q2" s="193" t="s">
        <v>3935</v>
      </c>
    </row>
    <row r="3" spans="2:18" ht="18" customHeight="1">
      <c r="B3" s="1" t="s">
        <v>3934</v>
      </c>
      <c r="D3" s="1"/>
      <c r="E3" s="1"/>
      <c r="F3" s="1"/>
      <c r="G3" s="1"/>
      <c r="H3" s="1"/>
      <c r="I3" s="1" t="s">
        <v>3945</v>
      </c>
      <c r="J3" s="1"/>
      <c r="L3" s="1" t="s">
        <v>3936</v>
      </c>
      <c r="N3" s="1"/>
      <c r="O3" s="1"/>
      <c r="Q3" s="1" t="s">
        <v>3937</v>
      </c>
    </row>
    <row r="4" spans="2:18" ht="18" customHeight="1">
      <c r="B4" s="184" t="s">
        <v>3915</v>
      </c>
      <c r="C4" s="185" t="s">
        <v>40</v>
      </c>
      <c r="D4" s="185" t="s">
        <v>41</v>
      </c>
      <c r="E4" s="185" t="s">
        <v>3916</v>
      </c>
      <c r="F4" s="185" t="s">
        <v>42</v>
      </c>
      <c r="G4" s="185" t="s">
        <v>42</v>
      </c>
      <c r="H4" s="1"/>
      <c r="I4" s="185" t="s">
        <v>3917</v>
      </c>
      <c r="J4" s="185" t="s">
        <v>3917</v>
      </c>
      <c r="L4" s="782" t="s">
        <v>3918</v>
      </c>
      <c r="M4" s="780" t="s">
        <v>3928</v>
      </c>
      <c r="N4" s="781"/>
      <c r="O4" s="195" t="s">
        <v>3929</v>
      </c>
      <c r="P4" s="1"/>
      <c r="Q4" s="782" t="s">
        <v>3918</v>
      </c>
      <c r="R4" s="10" t="s">
        <v>3928</v>
      </c>
    </row>
    <row r="5" spans="2:18" ht="18" customHeight="1">
      <c r="B5" s="184" t="s">
        <v>3918</v>
      </c>
      <c r="C5" s="185" t="s">
        <v>3919</v>
      </c>
      <c r="D5" s="185" t="s">
        <v>3919</v>
      </c>
      <c r="E5" s="185" t="s">
        <v>3919</v>
      </c>
      <c r="F5" s="185" t="s">
        <v>3943</v>
      </c>
      <c r="G5" s="185" t="s">
        <v>3920</v>
      </c>
      <c r="H5" s="1"/>
      <c r="I5" s="185" t="s">
        <v>3921</v>
      </c>
      <c r="J5" s="185" t="s">
        <v>3944</v>
      </c>
      <c r="L5" s="783"/>
      <c r="M5" s="10" t="s">
        <v>3926</v>
      </c>
      <c r="N5" s="10" t="s">
        <v>3927</v>
      </c>
      <c r="O5" s="10" t="s">
        <v>3927</v>
      </c>
      <c r="P5" s="1"/>
      <c r="Q5" s="783"/>
      <c r="R5" s="10" t="s">
        <v>3927</v>
      </c>
    </row>
    <row r="6" spans="2:18" ht="18" customHeight="1">
      <c r="B6" s="186">
        <v>1</v>
      </c>
      <c r="C6" s="11">
        <v>6.6</v>
      </c>
      <c r="D6" s="11">
        <v>5.7</v>
      </c>
      <c r="E6" s="187">
        <v>3.3</v>
      </c>
      <c r="F6" s="11">
        <v>5.2</v>
      </c>
      <c r="G6" s="11">
        <v>3.3</v>
      </c>
      <c r="H6" s="1"/>
      <c r="I6" s="11">
        <v>3.5</v>
      </c>
      <c r="J6" s="11">
        <v>1.2</v>
      </c>
      <c r="L6" s="186">
        <v>1</v>
      </c>
      <c r="M6" s="11">
        <v>1.9</v>
      </c>
      <c r="N6" s="194">
        <v>2.2999999999999998</v>
      </c>
      <c r="O6" s="194"/>
      <c r="P6" s="1"/>
      <c r="Q6" s="186">
        <v>1</v>
      </c>
      <c r="R6" s="194">
        <v>2.2999999999999998</v>
      </c>
    </row>
    <row r="7" spans="2:18" ht="18" customHeight="1">
      <c r="B7" s="186">
        <v>2</v>
      </c>
      <c r="C7" s="11">
        <v>6.6</v>
      </c>
      <c r="D7" s="11">
        <v>5.7</v>
      </c>
      <c r="E7" s="187">
        <v>3.3</v>
      </c>
      <c r="F7" s="11">
        <v>5.2</v>
      </c>
      <c r="G7" s="11">
        <v>3.3</v>
      </c>
      <c r="H7" s="1"/>
      <c r="I7" s="11">
        <v>3.5</v>
      </c>
      <c r="J7" s="11">
        <v>1.2</v>
      </c>
      <c r="L7" s="186">
        <v>2</v>
      </c>
      <c r="M7" s="11">
        <v>1.9</v>
      </c>
      <c r="N7" s="194">
        <v>2.2999999999999998</v>
      </c>
      <c r="O7" s="194"/>
      <c r="P7" s="1"/>
      <c r="Q7" s="186">
        <v>2</v>
      </c>
      <c r="R7" s="194">
        <v>2.2999999999999998</v>
      </c>
    </row>
    <row r="8" spans="2:18" ht="18" customHeight="1">
      <c r="B8" s="186">
        <v>3</v>
      </c>
      <c r="C8" s="11">
        <v>4.5999999999999996</v>
      </c>
      <c r="D8" s="187">
        <v>4</v>
      </c>
      <c r="E8" s="187">
        <v>2.2000000000000002</v>
      </c>
      <c r="F8" s="11">
        <v>5.2</v>
      </c>
      <c r="G8" s="11">
        <v>3.3</v>
      </c>
      <c r="H8" s="1"/>
      <c r="I8" s="11">
        <v>3.5</v>
      </c>
      <c r="J8" s="11">
        <v>1.2</v>
      </c>
      <c r="L8" s="186">
        <v>3</v>
      </c>
      <c r="M8" s="11">
        <v>1.9</v>
      </c>
      <c r="N8" s="194">
        <v>2.2999999999999998</v>
      </c>
      <c r="O8" s="194"/>
      <c r="P8" s="1"/>
      <c r="Q8" s="186">
        <v>3</v>
      </c>
      <c r="R8" s="194">
        <v>2.2999999999999998</v>
      </c>
    </row>
    <row r="9" spans="2:18" ht="18" customHeight="1" thickBot="1">
      <c r="B9" s="197">
        <v>4</v>
      </c>
      <c r="C9" s="198">
        <v>4.5999999999999996</v>
      </c>
      <c r="D9" s="199">
        <v>4</v>
      </c>
      <c r="E9" s="199">
        <v>2.2000000000000002</v>
      </c>
      <c r="F9" s="198">
        <v>3.3</v>
      </c>
      <c r="G9" s="198">
        <v>2.2000000000000002</v>
      </c>
      <c r="H9" s="1"/>
      <c r="I9" s="198">
        <v>1.7</v>
      </c>
      <c r="J9" s="198">
        <v>0.5</v>
      </c>
      <c r="L9" s="197">
        <v>4</v>
      </c>
      <c r="M9" s="198">
        <v>2.2999999999999998</v>
      </c>
      <c r="N9" s="325">
        <v>3.5</v>
      </c>
      <c r="O9" s="198" t="s">
        <v>3922</v>
      </c>
      <c r="P9" s="1"/>
      <c r="Q9" s="197">
        <v>4</v>
      </c>
      <c r="R9" s="198">
        <v>3.5</v>
      </c>
    </row>
    <row r="10" spans="2:18" ht="18" customHeight="1">
      <c r="B10" s="326">
        <v>5</v>
      </c>
      <c r="C10" s="202">
        <v>4.5999999999999996</v>
      </c>
      <c r="D10" s="203">
        <v>4</v>
      </c>
      <c r="E10" s="203">
        <v>2.2000000000000002</v>
      </c>
      <c r="F10" s="202">
        <v>3.3</v>
      </c>
      <c r="G10" s="202">
        <v>2.2000000000000002</v>
      </c>
      <c r="H10" s="1"/>
      <c r="I10" s="202">
        <v>1.7</v>
      </c>
      <c r="J10" s="202">
        <v>0.5</v>
      </c>
      <c r="L10" s="326">
        <v>5</v>
      </c>
      <c r="M10" s="202">
        <v>2.2999999999999998</v>
      </c>
      <c r="N10" s="327">
        <v>4.7</v>
      </c>
      <c r="O10" s="327">
        <v>0.59</v>
      </c>
      <c r="P10" s="1"/>
      <c r="Q10" s="326">
        <v>5</v>
      </c>
      <c r="R10" s="202">
        <v>4.7</v>
      </c>
    </row>
    <row r="11" spans="2:18" ht="18" customHeight="1">
      <c r="B11" s="186">
        <v>6</v>
      </c>
      <c r="C11" s="11">
        <v>4.5999999999999996</v>
      </c>
      <c r="D11" s="187">
        <v>4</v>
      </c>
      <c r="E11" s="187">
        <v>2.2000000000000002</v>
      </c>
      <c r="F11" s="11">
        <v>3.3</v>
      </c>
      <c r="G11" s="11">
        <v>2.2000000000000002</v>
      </c>
      <c r="H11" s="1"/>
      <c r="I11" s="11">
        <v>1.7</v>
      </c>
      <c r="J11" s="11">
        <v>0.5</v>
      </c>
      <c r="L11" s="186">
        <v>6</v>
      </c>
      <c r="M11" s="11">
        <v>2.2999999999999998</v>
      </c>
      <c r="N11" s="194">
        <v>4.7</v>
      </c>
      <c r="O11" s="194">
        <v>0.59</v>
      </c>
      <c r="P11" s="1"/>
      <c r="Q11" s="186">
        <v>6</v>
      </c>
      <c r="R11" s="11">
        <v>4.7</v>
      </c>
    </row>
    <row r="12" spans="2:18" ht="18" customHeight="1" thickBot="1">
      <c r="B12" s="328">
        <v>7</v>
      </c>
      <c r="C12" s="208">
        <v>4.5999999999999996</v>
      </c>
      <c r="D12" s="209">
        <v>4</v>
      </c>
      <c r="E12" s="209">
        <v>2.2000000000000002</v>
      </c>
      <c r="F12" s="208">
        <v>3.3</v>
      </c>
      <c r="G12" s="208">
        <v>2.2000000000000002</v>
      </c>
      <c r="H12" s="1"/>
      <c r="I12" s="208">
        <v>1.7</v>
      </c>
      <c r="J12" s="208">
        <v>0.5</v>
      </c>
      <c r="L12" s="328">
        <v>7</v>
      </c>
      <c r="M12" s="208">
        <v>2.2999999999999998</v>
      </c>
      <c r="N12" s="329">
        <v>4.7</v>
      </c>
      <c r="O12" s="329">
        <v>0.59</v>
      </c>
      <c r="P12" s="1"/>
      <c r="Q12" s="328">
        <v>7</v>
      </c>
      <c r="R12" s="208">
        <v>4.7</v>
      </c>
    </row>
    <row r="13" spans="2:18" ht="18" customHeight="1">
      <c r="B13" s="200">
        <v>8</v>
      </c>
      <c r="C13" s="173">
        <v>0.96</v>
      </c>
      <c r="D13" s="173">
        <v>0.78</v>
      </c>
      <c r="E13" s="173" t="s">
        <v>3922</v>
      </c>
      <c r="F13" s="173" t="s">
        <v>3922</v>
      </c>
      <c r="G13" s="173" t="s">
        <v>3922</v>
      </c>
      <c r="H13" s="1"/>
      <c r="I13" s="173" t="s">
        <v>3922</v>
      </c>
      <c r="J13" s="173" t="s">
        <v>3922</v>
      </c>
      <c r="L13" s="200">
        <v>8</v>
      </c>
      <c r="M13" s="173" t="s">
        <v>3922</v>
      </c>
      <c r="N13" s="173" t="s">
        <v>3922</v>
      </c>
      <c r="O13" s="173">
        <v>0.53</v>
      </c>
      <c r="P13" s="1"/>
      <c r="Q13" s="200">
        <v>8</v>
      </c>
      <c r="R13" s="173" t="s">
        <v>3922</v>
      </c>
    </row>
    <row r="14" spans="2:18" ht="18" customHeight="1">
      <c r="H14" s="1"/>
    </row>
    <row r="15" spans="2:18" ht="18" customHeight="1">
      <c r="B15" s="1" t="s">
        <v>3941</v>
      </c>
      <c r="D15" s="1"/>
      <c r="E15" s="1"/>
      <c r="F15" s="1"/>
      <c r="G15" s="1"/>
      <c r="H15" s="1"/>
      <c r="I15" s="1" t="s">
        <v>3946</v>
      </c>
      <c r="J15" s="1"/>
    </row>
    <row r="16" spans="2:18" ht="18" customHeight="1">
      <c r="B16" s="184" t="s">
        <v>3915</v>
      </c>
      <c r="C16" s="185" t="s">
        <v>40</v>
      </c>
      <c r="D16" s="185" t="s">
        <v>41</v>
      </c>
      <c r="E16" s="185" t="s">
        <v>3916</v>
      </c>
      <c r="F16" s="185" t="s">
        <v>42</v>
      </c>
      <c r="G16" s="185" t="s">
        <v>42</v>
      </c>
      <c r="H16" s="1"/>
      <c r="I16" s="185" t="s">
        <v>3917</v>
      </c>
      <c r="J16" s="185" t="s">
        <v>3917</v>
      </c>
    </row>
    <row r="17" spans="2:10" ht="18" customHeight="1">
      <c r="B17" s="184" t="s">
        <v>3918</v>
      </c>
      <c r="C17" s="185" t="s">
        <v>3919</v>
      </c>
      <c r="D17" s="185" t="s">
        <v>3919</v>
      </c>
      <c r="E17" s="185" t="s">
        <v>3919</v>
      </c>
      <c r="F17" s="185" t="s">
        <v>3943</v>
      </c>
      <c r="G17" s="185" t="s">
        <v>3920</v>
      </c>
      <c r="H17" s="1"/>
      <c r="I17" s="185" t="s">
        <v>3921</v>
      </c>
      <c r="J17" s="185" t="s">
        <v>3944</v>
      </c>
    </row>
    <row r="18" spans="2:10" ht="18" customHeight="1">
      <c r="B18" s="186">
        <v>1</v>
      </c>
      <c r="C18" s="11">
        <v>6.6</v>
      </c>
      <c r="D18" s="11">
        <v>5.7</v>
      </c>
      <c r="E18" s="187">
        <v>3.6</v>
      </c>
      <c r="F18" s="11">
        <v>4.2</v>
      </c>
      <c r="G18" s="11">
        <v>3.1</v>
      </c>
      <c r="H18" s="1"/>
      <c r="I18" s="11">
        <v>3.5</v>
      </c>
      <c r="J18" s="11">
        <v>1.2</v>
      </c>
    </row>
    <row r="19" spans="2:10" ht="18" customHeight="1">
      <c r="B19" s="186">
        <v>2</v>
      </c>
      <c r="C19" s="11">
        <v>6.6</v>
      </c>
      <c r="D19" s="11">
        <v>5.7</v>
      </c>
      <c r="E19" s="187">
        <v>3.6</v>
      </c>
      <c r="F19" s="11">
        <v>4.2</v>
      </c>
      <c r="G19" s="11">
        <v>3.1</v>
      </c>
      <c r="H19" s="1"/>
      <c r="I19" s="11">
        <v>3.5</v>
      </c>
      <c r="J19" s="11">
        <v>1.2</v>
      </c>
    </row>
    <row r="20" spans="2:10" ht="18" customHeight="1">
      <c r="B20" s="186">
        <v>3</v>
      </c>
      <c r="C20" s="11">
        <v>4.5999999999999996</v>
      </c>
      <c r="D20" s="187">
        <v>4</v>
      </c>
      <c r="E20" s="187">
        <v>2.2999999999999998</v>
      </c>
      <c r="F20" s="11">
        <v>4.2</v>
      </c>
      <c r="G20" s="11">
        <v>3.1</v>
      </c>
      <c r="H20" s="1"/>
      <c r="I20" s="11">
        <v>3.5</v>
      </c>
      <c r="J20" s="11">
        <v>1.2</v>
      </c>
    </row>
    <row r="21" spans="2:10" ht="18" customHeight="1" thickBot="1">
      <c r="B21" s="197">
        <v>4</v>
      </c>
      <c r="C21" s="198">
        <v>4.5999999999999996</v>
      </c>
      <c r="D21" s="199">
        <v>4</v>
      </c>
      <c r="E21" s="199">
        <v>2.2999999999999998</v>
      </c>
      <c r="F21" s="198">
        <v>3.1</v>
      </c>
      <c r="G21" s="199">
        <v>2</v>
      </c>
      <c r="H21" s="1"/>
      <c r="I21" s="198">
        <v>1.7</v>
      </c>
      <c r="J21" s="198">
        <v>0.5</v>
      </c>
    </row>
    <row r="22" spans="2:10" ht="18" customHeight="1">
      <c r="B22" s="326">
        <v>5</v>
      </c>
      <c r="C22" s="202">
        <v>4.5999999999999996</v>
      </c>
      <c r="D22" s="203">
        <v>4</v>
      </c>
      <c r="E22" s="203">
        <v>2.2999999999999998</v>
      </c>
      <c r="F22" s="202">
        <v>3.1</v>
      </c>
      <c r="G22" s="203">
        <v>2</v>
      </c>
      <c r="H22" s="1"/>
      <c r="I22" s="202">
        <v>1.7</v>
      </c>
      <c r="J22" s="202">
        <v>0.5</v>
      </c>
    </row>
    <row r="23" spans="2:10" ht="18" customHeight="1">
      <c r="B23" s="186">
        <v>6</v>
      </c>
      <c r="C23" s="11">
        <v>4.5999999999999996</v>
      </c>
      <c r="D23" s="187">
        <v>4</v>
      </c>
      <c r="E23" s="187">
        <v>2.2999999999999998</v>
      </c>
      <c r="F23" s="11">
        <v>3.1</v>
      </c>
      <c r="G23" s="187">
        <v>2</v>
      </c>
      <c r="H23" s="1"/>
      <c r="I23" s="11">
        <v>1.7</v>
      </c>
      <c r="J23" s="11">
        <v>0.5</v>
      </c>
    </row>
    <row r="24" spans="2:10" ht="18" customHeight="1" thickBot="1">
      <c r="B24" s="328">
        <v>7</v>
      </c>
      <c r="C24" s="208">
        <v>4.5999999999999996</v>
      </c>
      <c r="D24" s="209">
        <v>4</v>
      </c>
      <c r="E24" s="209">
        <v>2.2999999999999998</v>
      </c>
      <c r="F24" s="208">
        <v>3.1</v>
      </c>
      <c r="G24" s="209">
        <v>2</v>
      </c>
      <c r="H24" s="1"/>
      <c r="I24" s="208">
        <v>1.7</v>
      </c>
      <c r="J24" s="208">
        <v>0.5</v>
      </c>
    </row>
    <row r="25" spans="2:10" ht="18" customHeight="1">
      <c r="B25" s="200">
        <v>8</v>
      </c>
      <c r="C25" s="173">
        <v>0.96</v>
      </c>
      <c r="D25" s="173">
        <v>0.89</v>
      </c>
      <c r="E25" s="173" t="s">
        <v>3922</v>
      </c>
      <c r="F25" s="173" t="s">
        <v>3922</v>
      </c>
      <c r="G25" s="173" t="s">
        <v>3922</v>
      </c>
      <c r="H25" s="1"/>
      <c r="I25" s="173" t="s">
        <v>3922</v>
      </c>
      <c r="J25" s="173" t="s">
        <v>3922</v>
      </c>
    </row>
    <row r="26" spans="2:10" ht="18" customHeight="1">
      <c r="H26" s="1"/>
    </row>
    <row r="27" spans="2:10" ht="18" customHeight="1">
      <c r="B27" s="1" t="s">
        <v>3942</v>
      </c>
      <c r="D27" s="1"/>
      <c r="E27" s="1"/>
      <c r="F27" s="1"/>
      <c r="G27" s="1"/>
      <c r="H27" s="1"/>
      <c r="I27" s="1"/>
      <c r="J27" s="1"/>
    </row>
    <row r="28" spans="2:10" ht="18" customHeight="1">
      <c r="B28" s="184" t="s">
        <v>3915</v>
      </c>
      <c r="C28" s="185" t="s">
        <v>40</v>
      </c>
      <c r="D28" s="185" t="s">
        <v>41</v>
      </c>
      <c r="E28" s="185" t="s">
        <v>3916</v>
      </c>
      <c r="F28" s="185" t="s">
        <v>42</v>
      </c>
      <c r="G28" s="185" t="s">
        <v>42</v>
      </c>
      <c r="H28" s="1"/>
    </row>
    <row r="29" spans="2:10" ht="18" customHeight="1">
      <c r="B29" s="184" t="s">
        <v>3918</v>
      </c>
      <c r="C29" s="185" t="s">
        <v>3919</v>
      </c>
      <c r="D29" s="185" t="s">
        <v>3919</v>
      </c>
      <c r="E29" s="185" t="s">
        <v>3919</v>
      </c>
      <c r="F29" s="185" t="s">
        <v>3943</v>
      </c>
      <c r="G29" s="185" t="s">
        <v>3920</v>
      </c>
      <c r="H29" s="1"/>
    </row>
    <row r="30" spans="2:10" ht="18" customHeight="1">
      <c r="B30" s="186">
        <v>1</v>
      </c>
      <c r="C30" s="11">
        <v>5.7</v>
      </c>
      <c r="D30" s="11">
        <v>5.7</v>
      </c>
      <c r="E30" s="11">
        <v>2.9</v>
      </c>
      <c r="F30" s="11">
        <v>3.8</v>
      </c>
      <c r="G30" s="11" t="s">
        <v>3922</v>
      </c>
      <c r="H30" s="1"/>
    </row>
    <row r="31" spans="2:10" ht="18" customHeight="1">
      <c r="B31" s="186">
        <v>2</v>
      </c>
      <c r="C31" s="11">
        <v>5.7</v>
      </c>
      <c r="D31" s="11">
        <v>5.7</v>
      </c>
      <c r="E31" s="11">
        <v>2.9</v>
      </c>
      <c r="F31" s="11">
        <v>3.8</v>
      </c>
      <c r="G31" s="11" t="s">
        <v>3922</v>
      </c>
      <c r="H31" s="1"/>
    </row>
    <row r="32" spans="2:10" ht="18" customHeight="1">
      <c r="B32" s="186">
        <v>3</v>
      </c>
      <c r="C32" s="187">
        <v>4</v>
      </c>
      <c r="D32" s="187">
        <v>4</v>
      </c>
      <c r="E32" s="11">
        <v>1.7</v>
      </c>
      <c r="F32" s="11">
        <v>3.8</v>
      </c>
      <c r="G32" s="11" t="s">
        <v>3922</v>
      </c>
      <c r="H32" s="1"/>
    </row>
    <row r="33" spans="2:8" ht="18" customHeight="1" thickBot="1">
      <c r="B33" s="197">
        <v>4</v>
      </c>
      <c r="C33" s="199">
        <v>4</v>
      </c>
      <c r="D33" s="199">
        <v>4</v>
      </c>
      <c r="E33" s="198">
        <v>1.7</v>
      </c>
      <c r="F33" s="198">
        <v>2.5</v>
      </c>
      <c r="G33" s="198" t="s">
        <v>3922</v>
      </c>
      <c r="H33" s="1"/>
    </row>
    <row r="34" spans="2:8" ht="18" customHeight="1">
      <c r="B34" s="201">
        <v>5</v>
      </c>
      <c r="C34" s="203">
        <v>4</v>
      </c>
      <c r="D34" s="203">
        <v>4</v>
      </c>
      <c r="E34" s="202">
        <v>1.7</v>
      </c>
      <c r="F34" s="202">
        <v>2.5</v>
      </c>
      <c r="G34" s="204" t="s">
        <v>3922</v>
      </c>
      <c r="H34" s="1"/>
    </row>
    <row r="35" spans="2:8" ht="18" customHeight="1">
      <c r="B35" s="205">
        <v>6</v>
      </c>
      <c r="C35" s="187">
        <v>4</v>
      </c>
      <c r="D35" s="187">
        <v>4</v>
      </c>
      <c r="E35" s="11">
        <v>1.7</v>
      </c>
      <c r="F35" s="11">
        <v>2.5</v>
      </c>
      <c r="G35" s="206" t="s">
        <v>3922</v>
      </c>
      <c r="H35" s="1"/>
    </row>
    <row r="36" spans="2:8" ht="18" customHeight="1" thickBot="1">
      <c r="B36" s="207">
        <v>7</v>
      </c>
      <c r="C36" s="209">
        <v>4</v>
      </c>
      <c r="D36" s="209">
        <v>4</v>
      </c>
      <c r="E36" s="208">
        <v>1.7</v>
      </c>
      <c r="F36" s="208">
        <v>2.5</v>
      </c>
      <c r="G36" s="210" t="s">
        <v>3922</v>
      </c>
      <c r="H36" s="1"/>
    </row>
    <row r="37" spans="2:8" ht="18" customHeight="1">
      <c r="B37" s="200">
        <v>8</v>
      </c>
      <c r="C37" s="173">
        <v>0.78</v>
      </c>
      <c r="D37" s="173">
        <v>0.78</v>
      </c>
      <c r="E37" s="173" t="s">
        <v>3922</v>
      </c>
      <c r="F37" s="173" t="s">
        <v>3922</v>
      </c>
      <c r="G37" s="173" t="s">
        <v>3922</v>
      </c>
      <c r="H37" s="1"/>
    </row>
    <row r="38" spans="2:8" ht="18" customHeight="1">
      <c r="H38" s="1"/>
    </row>
    <row r="39" spans="2:8" ht="18" customHeight="1">
      <c r="H39" s="1"/>
    </row>
  </sheetData>
  <mergeCells count="3">
    <mergeCell ref="M4:N4"/>
    <mergeCell ref="L4:L5"/>
    <mergeCell ref="Q4:Q5"/>
  </mergeCells>
  <phoneticPr fontId="12"/>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89382-E219-4EDE-9989-8160BC933612}">
  <sheetPr codeName="Sheet17">
    <tabColor theme="0" tint="-0.34998626667073579"/>
  </sheetPr>
  <dimension ref="A1:Q85"/>
  <sheetViews>
    <sheetView showGridLines="0" topLeftCell="A38" zoomScaleNormal="100" workbookViewId="0">
      <selection activeCell="C56" sqref="C56"/>
    </sheetView>
  </sheetViews>
  <sheetFormatPr defaultRowHeight="18.75"/>
  <cols>
    <col min="2" max="2" width="20.125" customWidth="1"/>
    <col min="4" max="14" width="11.25" customWidth="1"/>
    <col min="15" max="17" width="9" style="366"/>
  </cols>
  <sheetData>
    <row r="1" spans="1:15" ht="21" customHeight="1">
      <c r="A1" s="367" t="s">
        <v>4102</v>
      </c>
    </row>
    <row r="2" spans="1:15" ht="24" customHeight="1">
      <c r="B2" s="235"/>
      <c r="C2" s="14"/>
      <c r="D2" s="18" t="s">
        <v>4073</v>
      </c>
      <c r="E2" s="18"/>
      <c r="F2" s="18" t="s">
        <v>22</v>
      </c>
      <c r="G2" s="18"/>
      <c r="H2" s="18"/>
      <c r="I2" s="18"/>
      <c r="J2" s="18"/>
      <c r="K2" s="18"/>
      <c r="L2" s="18"/>
      <c r="M2" s="18"/>
      <c r="N2" s="18"/>
      <c r="O2" s="366" t="s">
        <v>4099</v>
      </c>
    </row>
    <row r="3" spans="1:15" ht="24" customHeight="1">
      <c r="B3" s="236"/>
      <c r="C3" s="15"/>
      <c r="D3" s="232" t="s">
        <v>4013</v>
      </c>
      <c r="E3" s="232"/>
      <c r="F3" s="232"/>
      <c r="G3" s="232"/>
      <c r="H3" s="232"/>
      <c r="I3" s="232"/>
      <c r="J3" s="232"/>
      <c r="K3" s="232"/>
      <c r="L3" s="18"/>
      <c r="M3" s="18"/>
      <c r="N3" s="18"/>
      <c r="O3" s="366" t="s">
        <v>4101</v>
      </c>
    </row>
    <row r="4" spans="1:15" ht="24" customHeight="1">
      <c r="B4" s="236"/>
      <c r="C4" s="229"/>
      <c r="D4" s="232"/>
      <c r="E4" s="16" t="s">
        <v>4083</v>
      </c>
      <c r="F4" s="364"/>
      <c r="G4" s="16" t="s">
        <v>21</v>
      </c>
      <c r="H4" s="16"/>
      <c r="I4" s="16"/>
      <c r="J4" s="16"/>
      <c r="K4" s="16"/>
      <c r="L4" s="16"/>
      <c r="M4" s="16"/>
      <c r="N4" s="16"/>
      <c r="O4" s="366" t="s">
        <v>4133</v>
      </c>
    </row>
    <row r="5" spans="1:15" ht="24" customHeight="1">
      <c r="B5" s="236"/>
      <c r="C5" s="229"/>
      <c r="D5" s="232"/>
      <c r="E5" s="232"/>
      <c r="F5" s="13"/>
      <c r="G5" s="232" t="s">
        <v>24</v>
      </c>
      <c r="H5" s="232"/>
      <c r="I5" s="232"/>
      <c r="J5" s="232"/>
      <c r="K5" s="232"/>
      <c r="L5" s="20"/>
      <c r="M5" s="20"/>
      <c r="N5" s="20"/>
    </row>
    <row r="6" spans="1:15" ht="24" customHeight="1">
      <c r="B6" s="234"/>
      <c r="C6" s="229"/>
      <c r="D6" s="232"/>
      <c r="E6" s="232"/>
      <c r="F6" s="13"/>
      <c r="G6" s="232"/>
      <c r="H6" s="18" t="s">
        <v>36</v>
      </c>
      <c r="I6" s="18"/>
      <c r="J6" s="18"/>
      <c r="K6" s="18"/>
      <c r="L6" s="18"/>
      <c r="M6" s="18"/>
      <c r="N6" s="18"/>
      <c r="O6" s="366" t="s">
        <v>4134</v>
      </c>
    </row>
    <row r="7" spans="1:15" ht="24" customHeight="1">
      <c r="B7" s="238"/>
      <c r="C7" s="229"/>
      <c r="D7" s="232"/>
      <c r="E7" s="232"/>
      <c r="F7" s="13"/>
      <c r="G7" s="232"/>
      <c r="H7" s="18" t="s">
        <v>37</v>
      </c>
      <c r="I7" s="18"/>
      <c r="J7" s="18"/>
      <c r="K7" s="18"/>
      <c r="L7" s="18"/>
      <c r="M7" s="18"/>
      <c r="N7" s="18"/>
      <c r="O7" s="366" t="s">
        <v>4135</v>
      </c>
    </row>
    <row r="8" spans="1:15" ht="24" customHeight="1">
      <c r="B8" s="236"/>
      <c r="C8" s="229"/>
      <c r="D8" s="232"/>
      <c r="E8" s="232"/>
      <c r="F8" s="13"/>
      <c r="G8" s="232"/>
      <c r="H8" s="16" t="s">
        <v>23</v>
      </c>
      <c r="I8" s="16"/>
      <c r="J8" s="16"/>
      <c r="K8" s="16"/>
      <c r="L8" s="18"/>
      <c r="M8" s="18"/>
      <c r="N8" s="18"/>
      <c r="O8" s="366" t="s">
        <v>4136</v>
      </c>
    </row>
    <row r="9" spans="1:15" ht="24" customHeight="1">
      <c r="B9" s="236"/>
      <c r="C9" s="229"/>
      <c r="D9" s="232"/>
      <c r="E9" s="232"/>
      <c r="F9" s="13"/>
      <c r="G9" s="18" t="s">
        <v>3968</v>
      </c>
      <c r="H9" s="18"/>
      <c r="I9" s="18"/>
      <c r="J9" s="18"/>
      <c r="K9" s="18"/>
      <c r="L9" s="18"/>
      <c r="M9" s="18"/>
      <c r="N9" s="18"/>
      <c r="O9" s="366" t="s">
        <v>4137</v>
      </c>
    </row>
    <row r="10" spans="1:15" ht="24" customHeight="1">
      <c r="B10" s="236"/>
      <c r="C10" s="229"/>
      <c r="D10" s="232"/>
      <c r="E10" s="232"/>
      <c r="F10" s="13"/>
      <c r="G10" s="18" t="s">
        <v>4014</v>
      </c>
      <c r="H10" s="20"/>
      <c r="I10" s="20"/>
      <c r="J10" s="20"/>
      <c r="K10" s="20"/>
      <c r="L10" s="18"/>
      <c r="M10" s="18"/>
      <c r="N10" s="18"/>
      <c r="O10" s="366" t="s">
        <v>4138</v>
      </c>
    </row>
    <row r="11" spans="1:15" ht="24" customHeight="1">
      <c r="B11" s="234" t="s">
        <v>3977</v>
      </c>
      <c r="C11" s="229"/>
      <c r="D11" s="232"/>
      <c r="E11" s="232"/>
      <c r="F11" s="362"/>
      <c r="G11" s="18" t="s">
        <v>4093</v>
      </c>
      <c r="H11" s="20"/>
      <c r="I11" s="20"/>
      <c r="J11" s="20"/>
      <c r="K11" s="20"/>
      <c r="L11" s="18"/>
      <c r="M11" s="18"/>
      <c r="N11" s="18"/>
      <c r="O11" s="366" t="s">
        <v>4139</v>
      </c>
    </row>
    <row r="12" spans="1:15" ht="24" customHeight="1">
      <c r="B12" s="238" t="s">
        <v>27</v>
      </c>
      <c r="C12" s="229"/>
      <c r="D12" s="232"/>
      <c r="E12" s="16" t="s">
        <v>4084</v>
      </c>
      <c r="F12" s="364"/>
      <c r="G12" s="16" t="s">
        <v>21</v>
      </c>
      <c r="H12" s="16"/>
      <c r="I12" s="16"/>
      <c r="J12" s="16"/>
      <c r="K12" s="16"/>
      <c r="L12" s="16"/>
      <c r="M12" s="16"/>
      <c r="N12" s="16"/>
      <c r="O12" s="366" t="s">
        <v>4140</v>
      </c>
    </row>
    <row r="13" spans="1:15" ht="24" customHeight="1">
      <c r="B13" s="236"/>
      <c r="C13" s="229"/>
      <c r="D13" s="232"/>
      <c r="E13" s="232"/>
      <c r="F13" s="13"/>
      <c r="G13" s="232" t="s">
        <v>24</v>
      </c>
      <c r="H13" s="232"/>
      <c r="I13" s="232"/>
      <c r="J13" s="232"/>
      <c r="K13" s="232"/>
      <c r="L13" s="20"/>
      <c r="M13" s="20"/>
      <c r="N13" s="20"/>
    </row>
    <row r="14" spans="1:15" ht="24" customHeight="1">
      <c r="B14" s="234"/>
      <c r="C14" s="229"/>
      <c r="D14" s="232"/>
      <c r="E14" s="232"/>
      <c r="F14" s="13"/>
      <c r="G14" s="232"/>
      <c r="H14" s="18" t="s">
        <v>36</v>
      </c>
      <c r="I14" s="18"/>
      <c r="J14" s="18"/>
      <c r="K14" s="18"/>
      <c r="L14" s="18"/>
      <c r="M14" s="18"/>
      <c r="N14" s="18"/>
      <c r="O14" s="366" t="s">
        <v>4141</v>
      </c>
    </row>
    <row r="15" spans="1:15" ht="24" customHeight="1">
      <c r="B15" s="238"/>
      <c r="C15" s="229"/>
      <c r="D15" s="232"/>
      <c r="E15" s="232"/>
      <c r="F15" s="13"/>
      <c r="G15" s="232"/>
      <c r="H15" s="18" t="s">
        <v>37</v>
      </c>
      <c r="I15" s="18"/>
      <c r="J15" s="18"/>
      <c r="K15" s="18"/>
      <c r="L15" s="18"/>
      <c r="M15" s="18"/>
      <c r="N15" s="18"/>
      <c r="O15" s="366" t="s">
        <v>4142</v>
      </c>
    </row>
    <row r="16" spans="1:15" ht="24" customHeight="1">
      <c r="B16" s="236"/>
      <c r="C16" s="229"/>
      <c r="D16" s="232"/>
      <c r="E16" s="232"/>
      <c r="F16" s="13"/>
      <c r="G16" s="232"/>
      <c r="H16" s="16" t="s">
        <v>23</v>
      </c>
      <c r="I16" s="16"/>
      <c r="J16" s="16"/>
      <c r="K16" s="16"/>
      <c r="L16" s="18"/>
      <c r="M16" s="18"/>
      <c r="N16" s="18"/>
      <c r="O16" s="366" t="s">
        <v>4143</v>
      </c>
    </row>
    <row r="17" spans="2:15" ht="24" customHeight="1">
      <c r="B17" s="236"/>
      <c r="C17" s="229"/>
      <c r="D17" s="232"/>
      <c r="E17" s="232"/>
      <c r="F17" s="13"/>
      <c r="G17" s="16" t="s">
        <v>3968</v>
      </c>
      <c r="H17" s="16"/>
      <c r="I17" s="16"/>
      <c r="J17" s="16"/>
      <c r="K17" s="16"/>
      <c r="L17" s="16"/>
      <c r="M17" s="16"/>
      <c r="N17" s="16"/>
      <c r="O17" s="366" t="s">
        <v>4144</v>
      </c>
    </row>
    <row r="18" spans="2:15" ht="24" customHeight="1">
      <c r="B18" s="236"/>
      <c r="C18" s="229"/>
      <c r="D18" s="232"/>
      <c r="E18" s="232"/>
      <c r="F18" s="13"/>
      <c r="G18" s="16" t="s">
        <v>4095</v>
      </c>
      <c r="H18" s="16"/>
      <c r="I18" s="16"/>
      <c r="J18" s="16"/>
      <c r="K18" s="16"/>
      <c r="L18" s="16"/>
      <c r="M18" s="16"/>
      <c r="N18" s="16"/>
      <c r="O18" s="366" t="s">
        <v>4145</v>
      </c>
    </row>
    <row r="19" spans="2:15" ht="24" customHeight="1">
      <c r="B19" s="236"/>
      <c r="C19" s="229"/>
      <c r="D19" s="232"/>
      <c r="E19" s="232"/>
      <c r="F19" s="362"/>
      <c r="G19" s="18" t="s">
        <v>4093</v>
      </c>
      <c r="H19" s="18"/>
      <c r="I19" s="18"/>
      <c r="J19" s="18"/>
      <c r="K19" s="18"/>
      <c r="L19" s="16"/>
      <c r="M19" s="16"/>
      <c r="N19" s="16"/>
      <c r="O19" s="366" t="s">
        <v>4146</v>
      </c>
    </row>
    <row r="20" spans="2:15" ht="24" customHeight="1">
      <c r="B20" s="236"/>
      <c r="C20" s="15"/>
      <c r="D20" s="18" t="s">
        <v>4001</v>
      </c>
      <c r="E20" s="18"/>
      <c r="F20" s="20"/>
      <c r="G20" s="20"/>
      <c r="H20" s="20"/>
      <c r="I20" s="20"/>
      <c r="J20" s="20"/>
      <c r="K20" s="20"/>
      <c r="L20" s="18"/>
      <c r="M20" s="18"/>
      <c r="N20" s="18"/>
      <c r="O20" s="366" t="s">
        <v>4100</v>
      </c>
    </row>
    <row r="21" spans="2:15" ht="24" customHeight="1">
      <c r="B21" s="237"/>
      <c r="C21" s="252" t="s">
        <v>232</v>
      </c>
      <c r="D21" s="784"/>
      <c r="E21" s="784"/>
      <c r="F21" s="784"/>
      <c r="G21" s="784"/>
      <c r="H21" s="784"/>
      <c r="I21" s="784"/>
      <c r="J21" s="784"/>
      <c r="K21" s="784"/>
      <c r="L21" s="784"/>
      <c r="M21" s="784"/>
      <c r="N21" s="784"/>
    </row>
    <row r="22" spans="2:15" ht="24" customHeight="1">
      <c r="B22" s="235"/>
      <c r="C22" s="14"/>
      <c r="D22" s="18" t="s">
        <v>4074</v>
      </c>
      <c r="E22" s="18"/>
      <c r="F22" s="18" t="s">
        <v>22</v>
      </c>
      <c r="G22" s="18"/>
      <c r="H22" s="18"/>
      <c r="I22" s="18"/>
      <c r="J22" s="18"/>
      <c r="K22" s="18"/>
      <c r="L22" s="18"/>
      <c r="M22" s="18"/>
      <c r="N22" s="18"/>
      <c r="O22" s="366" t="s">
        <v>4103</v>
      </c>
    </row>
    <row r="23" spans="2:15" ht="24" customHeight="1">
      <c r="B23" s="234" t="s">
        <v>3978</v>
      </c>
      <c r="C23" s="15"/>
      <c r="D23" s="16" t="s">
        <v>4075</v>
      </c>
      <c r="E23" s="18"/>
      <c r="F23" s="18" t="s">
        <v>3968</v>
      </c>
      <c r="G23" s="18"/>
      <c r="H23" s="18"/>
      <c r="I23" s="18"/>
      <c r="J23" s="18"/>
      <c r="K23" s="18"/>
      <c r="L23" s="18"/>
      <c r="M23" s="18"/>
      <c r="N23" s="18"/>
      <c r="O23" s="366" t="s">
        <v>4105</v>
      </c>
    </row>
    <row r="24" spans="2:15" ht="24" customHeight="1">
      <c r="B24" s="361"/>
      <c r="C24" s="15"/>
      <c r="D24" s="232"/>
      <c r="E24" s="16" t="s">
        <v>4083</v>
      </c>
      <c r="F24" s="232"/>
      <c r="G24" s="18" t="s">
        <v>3968</v>
      </c>
      <c r="H24" s="18"/>
      <c r="I24" s="18"/>
      <c r="J24" s="18"/>
      <c r="K24" s="18"/>
      <c r="L24" s="18"/>
      <c r="M24" s="18"/>
      <c r="N24" s="18"/>
      <c r="O24" s="366" t="s">
        <v>4106</v>
      </c>
    </row>
    <row r="25" spans="2:15" ht="24" customHeight="1">
      <c r="B25" s="361"/>
      <c r="C25" s="15"/>
      <c r="D25" s="232"/>
      <c r="E25" s="232"/>
      <c r="F25" s="20"/>
      <c r="G25" s="18" t="s">
        <v>4094</v>
      </c>
      <c r="H25" s="18"/>
      <c r="I25" s="18"/>
      <c r="J25" s="18"/>
      <c r="K25" s="18"/>
      <c r="L25" s="18"/>
      <c r="M25" s="18"/>
      <c r="N25" s="18"/>
      <c r="O25" s="366" t="s">
        <v>4107</v>
      </c>
    </row>
    <row r="26" spans="2:15" ht="24" customHeight="1">
      <c r="B26" s="361"/>
      <c r="C26" s="15"/>
      <c r="D26" s="232"/>
      <c r="E26" s="16" t="s">
        <v>4084</v>
      </c>
      <c r="F26" s="232"/>
      <c r="G26" s="18" t="s">
        <v>3968</v>
      </c>
      <c r="H26" s="18"/>
      <c r="I26" s="18"/>
      <c r="J26" s="18"/>
      <c r="K26" s="18"/>
      <c r="L26" s="18"/>
      <c r="M26" s="18"/>
      <c r="N26" s="18"/>
      <c r="O26" s="366" t="s">
        <v>4108</v>
      </c>
    </row>
    <row r="27" spans="2:15" ht="24" customHeight="1">
      <c r="B27" s="361"/>
      <c r="C27" s="15"/>
      <c r="D27" s="232"/>
      <c r="E27" s="232"/>
      <c r="F27" s="20"/>
      <c r="G27" s="18" t="s">
        <v>4094</v>
      </c>
      <c r="H27" s="18"/>
      <c r="I27" s="18"/>
      <c r="J27" s="18"/>
      <c r="K27" s="18"/>
      <c r="L27" s="18"/>
      <c r="M27" s="18"/>
      <c r="N27" s="18"/>
      <c r="O27" s="366" t="s">
        <v>4109</v>
      </c>
    </row>
    <row r="28" spans="2:15" ht="24" customHeight="1">
      <c r="B28" s="238" t="s">
        <v>27</v>
      </c>
      <c r="C28" s="15"/>
      <c r="D28" s="18" t="s">
        <v>4001</v>
      </c>
      <c r="E28" s="18"/>
      <c r="F28" s="20"/>
      <c r="G28" s="20"/>
      <c r="H28" s="20"/>
      <c r="I28" s="20"/>
      <c r="J28" s="20"/>
      <c r="K28" s="20"/>
      <c r="L28" s="20"/>
      <c r="M28" s="20"/>
      <c r="N28" s="20"/>
      <c r="O28" s="366" t="s">
        <v>4104</v>
      </c>
    </row>
    <row r="29" spans="2:15" ht="24" customHeight="1">
      <c r="B29" s="237"/>
      <c r="C29" s="252" t="s">
        <v>232</v>
      </c>
      <c r="D29" s="784"/>
      <c r="E29" s="784"/>
      <c r="F29" s="784"/>
      <c r="G29" s="784"/>
      <c r="H29" s="784"/>
      <c r="I29" s="784"/>
      <c r="J29" s="784"/>
      <c r="K29" s="784"/>
      <c r="L29" s="784"/>
      <c r="M29" s="784"/>
      <c r="N29" s="784"/>
    </row>
    <row r="30" spans="2:15" ht="24" customHeight="1">
      <c r="B30" s="17"/>
      <c r="C30" s="14"/>
      <c r="D30" s="18" t="s">
        <v>492</v>
      </c>
      <c r="E30" s="18"/>
      <c r="F30" s="18"/>
      <c r="G30" s="18"/>
      <c r="H30" s="18"/>
      <c r="I30" s="18"/>
      <c r="J30" s="18"/>
      <c r="K30" s="18"/>
      <c r="L30" s="18"/>
      <c r="M30" s="18"/>
      <c r="N30" s="18"/>
    </row>
    <row r="31" spans="2:15" ht="24" customHeight="1">
      <c r="B31" s="19"/>
      <c r="C31" s="15"/>
      <c r="D31" s="18" t="s">
        <v>26</v>
      </c>
      <c r="E31" s="18"/>
      <c r="F31" s="18"/>
      <c r="G31" s="18"/>
      <c r="H31" s="18"/>
      <c r="I31" s="18"/>
      <c r="J31" s="18"/>
      <c r="K31" s="18"/>
      <c r="L31" s="18"/>
      <c r="M31" s="18"/>
      <c r="N31" s="18"/>
    </row>
    <row r="32" spans="2:15" ht="24" customHeight="1">
      <c r="B32" s="19" t="s">
        <v>25</v>
      </c>
      <c r="C32" s="15"/>
      <c r="D32" s="18" t="s">
        <v>3969</v>
      </c>
      <c r="E32" s="18"/>
      <c r="F32" s="18"/>
      <c r="G32" s="18"/>
      <c r="H32" s="18"/>
      <c r="I32" s="18"/>
      <c r="J32" s="18"/>
      <c r="K32" s="18"/>
      <c r="L32" s="18"/>
      <c r="M32" s="18"/>
      <c r="N32" s="18"/>
    </row>
    <row r="33" spans="1:15" ht="24" customHeight="1">
      <c r="B33" s="238" t="s">
        <v>27</v>
      </c>
      <c r="C33" s="15"/>
      <c r="D33" s="18" t="s">
        <v>3970</v>
      </c>
      <c r="E33" s="18"/>
      <c r="F33" s="18"/>
      <c r="G33" s="18"/>
      <c r="H33" s="18"/>
      <c r="I33" s="18"/>
      <c r="J33" s="18"/>
      <c r="K33" s="18"/>
      <c r="L33" s="18"/>
      <c r="M33" s="18"/>
      <c r="N33" s="18"/>
    </row>
    <row r="34" spans="1:15" ht="24" customHeight="1">
      <c r="B34" s="237"/>
      <c r="C34" s="253" t="s">
        <v>232</v>
      </c>
      <c r="D34" s="784"/>
      <c r="E34" s="784"/>
      <c r="F34" s="784"/>
      <c r="G34" s="784"/>
      <c r="H34" s="784"/>
      <c r="I34" s="784"/>
      <c r="J34" s="784"/>
      <c r="K34" s="784"/>
      <c r="L34" s="784"/>
      <c r="M34" s="784"/>
      <c r="N34" s="784"/>
    </row>
    <row r="35" spans="1:15" ht="24" customHeight="1">
      <c r="B35" s="17"/>
      <c r="C35" s="14"/>
      <c r="D35" s="18" t="s">
        <v>4016</v>
      </c>
      <c r="E35" s="18"/>
      <c r="F35" s="18"/>
      <c r="G35" s="18"/>
      <c r="H35" s="18"/>
      <c r="I35" s="18"/>
      <c r="J35" s="18"/>
      <c r="K35" s="18"/>
      <c r="L35" s="18"/>
      <c r="M35" s="18"/>
      <c r="N35" s="18"/>
      <c r="O35" s="366" t="s">
        <v>4110</v>
      </c>
    </row>
    <row r="36" spans="1:15" ht="24" customHeight="1">
      <c r="B36" s="19"/>
      <c r="C36" s="15"/>
      <c r="D36" s="18" t="s">
        <v>4017</v>
      </c>
      <c r="E36" s="18"/>
      <c r="F36" s="18"/>
      <c r="G36" s="18"/>
      <c r="H36" s="18"/>
      <c r="I36" s="18"/>
      <c r="J36" s="18"/>
      <c r="K36" s="18"/>
      <c r="L36" s="18"/>
      <c r="M36" s="18"/>
      <c r="N36" s="18"/>
      <c r="O36" s="366" t="s">
        <v>4111</v>
      </c>
    </row>
    <row r="37" spans="1:15" ht="24" customHeight="1">
      <c r="B37" s="19" t="s">
        <v>28</v>
      </c>
      <c r="C37" s="15"/>
      <c r="D37" s="16" t="s">
        <v>4055</v>
      </c>
      <c r="E37" s="16"/>
      <c r="F37" s="18"/>
      <c r="G37" s="18"/>
      <c r="H37" s="18"/>
      <c r="I37" s="18"/>
      <c r="J37" s="18"/>
      <c r="K37" s="18"/>
      <c r="L37" s="18"/>
      <c r="M37" s="233"/>
      <c r="N37" s="233"/>
      <c r="O37" s="366" t="s">
        <v>4113</v>
      </c>
    </row>
    <row r="38" spans="1:15" ht="24" customHeight="1">
      <c r="B38" s="19" t="s">
        <v>28</v>
      </c>
      <c r="C38" s="15"/>
      <c r="D38" s="20"/>
      <c r="E38" s="20"/>
      <c r="F38" s="16" t="s">
        <v>4056</v>
      </c>
      <c r="G38" s="16"/>
      <c r="H38" s="16"/>
      <c r="I38" s="16"/>
      <c r="J38" s="16"/>
      <c r="K38" s="16"/>
      <c r="L38" s="16"/>
      <c r="M38" s="16"/>
      <c r="N38" s="16"/>
      <c r="O38" s="366" t="s">
        <v>4114</v>
      </c>
    </row>
    <row r="39" spans="1:15" ht="24" customHeight="1">
      <c r="B39" s="239" t="s">
        <v>27</v>
      </c>
      <c r="C39" s="15"/>
      <c r="D39" s="18" t="s">
        <v>4001</v>
      </c>
      <c r="E39" s="18"/>
      <c r="F39" s="18"/>
      <c r="G39" s="18"/>
      <c r="H39" s="18"/>
      <c r="I39" s="18"/>
      <c r="J39" s="18"/>
      <c r="K39" s="18"/>
      <c r="L39" s="18"/>
      <c r="M39" s="18"/>
      <c r="N39" s="18"/>
      <c r="O39" s="366" t="s">
        <v>4112</v>
      </c>
    </row>
    <row r="40" spans="1:15" ht="24" customHeight="1">
      <c r="B40" s="237"/>
      <c r="C40" s="253" t="s">
        <v>232</v>
      </c>
      <c r="D40" s="784"/>
      <c r="E40" s="784"/>
      <c r="F40" s="784"/>
      <c r="G40" s="784"/>
      <c r="H40" s="784"/>
      <c r="I40" s="784"/>
      <c r="J40" s="784"/>
      <c r="K40" s="784"/>
      <c r="L40" s="784"/>
      <c r="M40" s="784"/>
      <c r="N40" s="784"/>
    </row>
    <row r="41" spans="1:15" ht="24" customHeight="1">
      <c r="B41" s="443" t="s">
        <v>4098</v>
      </c>
      <c r="C41" s="15"/>
      <c r="D41" s="18" t="s">
        <v>3971</v>
      </c>
      <c r="E41" s="18"/>
      <c r="F41" s="18"/>
      <c r="G41" s="18"/>
      <c r="H41" s="18"/>
      <c r="I41" s="18"/>
      <c r="J41" s="18"/>
      <c r="K41" s="18"/>
      <c r="L41" s="18"/>
      <c r="M41" s="18"/>
      <c r="N41" s="18"/>
    </row>
    <row r="42" spans="1:15" ht="24" customHeight="1">
      <c r="B42" s="444"/>
      <c r="C42" s="15"/>
      <c r="D42" s="18" t="s">
        <v>4001</v>
      </c>
      <c r="E42" s="18"/>
      <c r="F42" s="18"/>
      <c r="G42" s="18"/>
      <c r="H42" s="18"/>
      <c r="I42" s="18"/>
      <c r="J42" s="18"/>
      <c r="K42" s="18"/>
      <c r="L42" s="18"/>
      <c r="M42" s="18"/>
      <c r="N42" s="18"/>
    </row>
    <row r="43" spans="1:15" ht="24" customHeight="1">
      <c r="B43" s="445"/>
      <c r="C43" s="253" t="s">
        <v>232</v>
      </c>
      <c r="D43" s="784"/>
      <c r="E43" s="784"/>
      <c r="F43" s="784"/>
      <c r="G43" s="784"/>
      <c r="H43" s="784"/>
      <c r="I43" s="784"/>
      <c r="J43" s="784"/>
      <c r="K43" s="784"/>
      <c r="L43" s="784"/>
      <c r="M43" s="784"/>
      <c r="N43" s="784"/>
    </row>
    <row r="47" spans="1:15" ht="21" customHeight="1">
      <c r="A47" s="367" t="s">
        <v>4115</v>
      </c>
    </row>
    <row r="48" spans="1:15" ht="24" customHeight="1">
      <c r="B48" s="235"/>
      <c r="C48" s="14"/>
      <c r="D48" s="18" t="s">
        <v>4073</v>
      </c>
      <c r="E48" s="18"/>
      <c r="F48" s="18" t="s">
        <v>22</v>
      </c>
      <c r="G48" s="18"/>
      <c r="H48" s="18"/>
      <c r="I48" s="18"/>
      <c r="J48" s="18"/>
      <c r="K48" s="18"/>
      <c r="L48" s="18"/>
      <c r="M48" s="18"/>
      <c r="N48" s="18"/>
      <c r="O48" s="366" t="s">
        <v>4116</v>
      </c>
    </row>
    <row r="49" spans="2:15" ht="24" customHeight="1">
      <c r="B49" s="236"/>
      <c r="C49" s="15"/>
      <c r="D49" s="232" t="s">
        <v>4013</v>
      </c>
      <c r="E49" s="232"/>
      <c r="F49" s="232"/>
      <c r="G49" s="232"/>
      <c r="H49" s="232"/>
      <c r="I49" s="232"/>
      <c r="J49" s="232"/>
      <c r="K49" s="232"/>
      <c r="L49" s="18"/>
      <c r="M49" s="18"/>
      <c r="N49" s="18"/>
      <c r="O49" s="366" t="s">
        <v>4117</v>
      </c>
    </row>
    <row r="50" spans="2:15" ht="24" customHeight="1">
      <c r="B50" s="236"/>
      <c r="C50" s="229"/>
      <c r="D50" s="232"/>
      <c r="E50" s="16" t="s">
        <v>4083</v>
      </c>
      <c r="F50" s="364"/>
      <c r="G50" s="16" t="s">
        <v>21</v>
      </c>
      <c r="H50" s="16"/>
      <c r="I50" s="16"/>
      <c r="J50" s="16"/>
      <c r="K50" s="16"/>
      <c r="L50" s="16"/>
      <c r="M50" s="16"/>
      <c r="N50" s="16"/>
      <c r="O50" s="366" t="s">
        <v>4147</v>
      </c>
    </row>
    <row r="51" spans="2:15" ht="24" customHeight="1">
      <c r="B51" s="236"/>
      <c r="C51" s="229"/>
      <c r="D51" s="232"/>
      <c r="E51" s="232"/>
      <c r="F51" s="13"/>
      <c r="G51" s="232" t="s">
        <v>24</v>
      </c>
      <c r="H51" s="232"/>
      <c r="I51" s="232"/>
      <c r="J51" s="232"/>
      <c r="K51" s="232"/>
      <c r="L51" s="20"/>
      <c r="M51" s="20"/>
      <c r="N51" s="20"/>
    </row>
    <row r="52" spans="2:15" ht="24" customHeight="1">
      <c r="B52" s="234"/>
      <c r="C52" s="229"/>
      <c r="D52" s="232"/>
      <c r="E52" s="232"/>
      <c r="F52" s="13"/>
      <c r="G52" s="232"/>
      <c r="H52" s="18" t="s">
        <v>36</v>
      </c>
      <c r="I52" s="18"/>
      <c r="J52" s="18"/>
      <c r="K52" s="18"/>
      <c r="L52" s="18"/>
      <c r="M52" s="18"/>
      <c r="N52" s="18"/>
      <c r="O52" s="366" t="s">
        <v>4148</v>
      </c>
    </row>
    <row r="53" spans="2:15" ht="24" customHeight="1">
      <c r="B53" s="238"/>
      <c r="C53" s="229"/>
      <c r="D53" s="232"/>
      <c r="E53" s="232"/>
      <c r="F53" s="13"/>
      <c r="G53" s="232"/>
      <c r="H53" s="18" t="s">
        <v>37</v>
      </c>
      <c r="I53" s="18"/>
      <c r="J53" s="18"/>
      <c r="K53" s="18"/>
      <c r="L53" s="18"/>
      <c r="M53" s="18"/>
      <c r="N53" s="18"/>
      <c r="O53" s="366" t="s">
        <v>4149</v>
      </c>
    </row>
    <row r="54" spans="2:15" ht="24" customHeight="1">
      <c r="B54" s="236"/>
      <c r="C54" s="229"/>
      <c r="D54" s="232"/>
      <c r="E54" s="232"/>
      <c r="F54" s="13"/>
      <c r="G54" s="232"/>
      <c r="H54" s="16" t="s">
        <v>23</v>
      </c>
      <c r="I54" s="16"/>
      <c r="J54" s="16"/>
      <c r="K54" s="16"/>
      <c r="L54" s="18"/>
      <c r="M54" s="18"/>
      <c r="N54" s="18"/>
      <c r="O54" s="366" t="s">
        <v>4150</v>
      </c>
    </row>
    <row r="55" spans="2:15" ht="24" customHeight="1">
      <c r="B55" s="236"/>
      <c r="C55" s="229"/>
      <c r="D55" s="232"/>
      <c r="E55" s="232"/>
      <c r="F55" s="13"/>
      <c r="G55" s="18" t="s">
        <v>3968</v>
      </c>
      <c r="H55" s="18"/>
      <c r="I55" s="18"/>
      <c r="J55" s="18"/>
      <c r="K55" s="18"/>
      <c r="L55" s="18"/>
      <c r="M55" s="18"/>
      <c r="N55" s="18"/>
      <c r="O55" s="366" t="s">
        <v>4151</v>
      </c>
    </row>
    <row r="56" spans="2:15" ht="24" customHeight="1">
      <c r="B56" s="234" t="s">
        <v>3977</v>
      </c>
      <c r="C56" s="229"/>
      <c r="D56" s="232"/>
      <c r="E56" s="232"/>
      <c r="F56" s="362"/>
      <c r="G56" s="18" t="s">
        <v>4093</v>
      </c>
      <c r="H56" s="20"/>
      <c r="I56" s="20"/>
      <c r="J56" s="20"/>
      <c r="K56" s="20"/>
      <c r="L56" s="18"/>
      <c r="M56" s="18"/>
      <c r="N56" s="18"/>
      <c r="O56" s="366" t="s">
        <v>4152</v>
      </c>
    </row>
    <row r="57" spans="2:15" ht="24" customHeight="1">
      <c r="B57" s="238" t="s">
        <v>27</v>
      </c>
      <c r="C57" s="229"/>
      <c r="D57" s="232"/>
      <c r="E57" s="16" t="s">
        <v>4084</v>
      </c>
      <c r="F57" s="364"/>
      <c r="G57" s="16" t="s">
        <v>21</v>
      </c>
      <c r="H57" s="16"/>
      <c r="I57" s="16"/>
      <c r="J57" s="16"/>
      <c r="K57" s="16"/>
      <c r="L57" s="16"/>
      <c r="M57" s="16"/>
      <c r="N57" s="16"/>
      <c r="O57" s="366" t="s">
        <v>4153</v>
      </c>
    </row>
    <row r="58" spans="2:15" ht="24" customHeight="1">
      <c r="B58" s="236"/>
      <c r="C58" s="229"/>
      <c r="D58" s="232"/>
      <c r="E58" s="232"/>
      <c r="F58" s="13"/>
      <c r="G58" s="232" t="s">
        <v>24</v>
      </c>
      <c r="H58" s="232"/>
      <c r="I58" s="232"/>
      <c r="J58" s="232"/>
      <c r="K58" s="232"/>
      <c r="L58" s="20"/>
      <c r="M58" s="20"/>
      <c r="N58" s="20"/>
    </row>
    <row r="59" spans="2:15" ht="24" customHeight="1">
      <c r="B59" s="234"/>
      <c r="C59" s="229"/>
      <c r="D59" s="232"/>
      <c r="E59" s="232"/>
      <c r="F59" s="13"/>
      <c r="G59" s="232"/>
      <c r="H59" s="18" t="s">
        <v>36</v>
      </c>
      <c r="I59" s="18"/>
      <c r="J59" s="18"/>
      <c r="K59" s="18"/>
      <c r="L59" s="18"/>
      <c r="M59" s="18"/>
      <c r="N59" s="18"/>
      <c r="O59" s="366" t="s">
        <v>4154</v>
      </c>
    </row>
    <row r="60" spans="2:15" ht="24" customHeight="1">
      <c r="B60" s="238"/>
      <c r="C60" s="229"/>
      <c r="D60" s="232"/>
      <c r="E60" s="232"/>
      <c r="F60" s="13"/>
      <c r="G60" s="232"/>
      <c r="H60" s="18" t="s">
        <v>37</v>
      </c>
      <c r="I60" s="18"/>
      <c r="J60" s="18"/>
      <c r="K60" s="18"/>
      <c r="L60" s="18"/>
      <c r="M60" s="18"/>
      <c r="N60" s="18"/>
      <c r="O60" s="366" t="s">
        <v>4155</v>
      </c>
    </row>
    <row r="61" spans="2:15" ht="24" customHeight="1">
      <c r="B61" s="236"/>
      <c r="C61" s="229"/>
      <c r="D61" s="232"/>
      <c r="E61" s="232"/>
      <c r="F61" s="13"/>
      <c r="G61" s="232"/>
      <c r="H61" s="16" t="s">
        <v>23</v>
      </c>
      <c r="I61" s="16"/>
      <c r="J61" s="16"/>
      <c r="K61" s="16"/>
      <c r="L61" s="18"/>
      <c r="M61" s="18"/>
      <c r="N61" s="18"/>
      <c r="O61" s="366" t="s">
        <v>4156</v>
      </c>
    </row>
    <row r="62" spans="2:15" ht="24" customHeight="1">
      <c r="B62" s="236"/>
      <c r="C62" s="229"/>
      <c r="D62" s="232"/>
      <c r="E62" s="232"/>
      <c r="F62" s="13"/>
      <c r="G62" s="16" t="s">
        <v>3968</v>
      </c>
      <c r="H62" s="16"/>
      <c r="I62" s="16"/>
      <c r="J62" s="16"/>
      <c r="K62" s="16"/>
      <c r="L62" s="16"/>
      <c r="M62" s="16"/>
      <c r="N62" s="16"/>
      <c r="O62" s="366" t="s">
        <v>4157</v>
      </c>
    </row>
    <row r="63" spans="2:15" ht="24" customHeight="1">
      <c r="B63" s="236"/>
      <c r="C63" s="229"/>
      <c r="D63" s="232"/>
      <c r="E63" s="232"/>
      <c r="F63" s="362"/>
      <c r="G63" s="18" t="s">
        <v>4093</v>
      </c>
      <c r="H63" s="18"/>
      <c r="I63" s="18"/>
      <c r="J63" s="18"/>
      <c r="K63" s="18"/>
      <c r="L63" s="16"/>
      <c r="M63" s="16"/>
      <c r="N63" s="16"/>
      <c r="O63" s="366" t="s">
        <v>4158</v>
      </c>
    </row>
    <row r="64" spans="2:15" ht="24" customHeight="1">
      <c r="B64" s="236"/>
      <c r="C64" s="15"/>
      <c r="D64" s="18" t="s">
        <v>4001</v>
      </c>
      <c r="E64" s="18"/>
      <c r="F64" s="20"/>
      <c r="G64" s="20"/>
      <c r="H64" s="20"/>
      <c r="I64" s="20"/>
      <c r="J64" s="20"/>
      <c r="K64" s="20"/>
      <c r="L64" s="18"/>
      <c r="M64" s="18"/>
      <c r="N64" s="18"/>
      <c r="O64" s="366" t="s">
        <v>4118</v>
      </c>
    </row>
    <row r="65" spans="1:15" ht="24" customHeight="1">
      <c r="B65" s="237"/>
      <c r="C65" s="252" t="s">
        <v>232</v>
      </c>
      <c r="D65" s="784"/>
      <c r="E65" s="784"/>
      <c r="F65" s="784"/>
      <c r="G65" s="784"/>
      <c r="H65" s="784"/>
      <c r="I65" s="784"/>
      <c r="J65" s="784"/>
      <c r="K65" s="784"/>
      <c r="L65" s="784"/>
      <c r="M65" s="784"/>
      <c r="N65" s="784"/>
    </row>
    <row r="66" spans="1:15" ht="24" customHeight="1">
      <c r="B66" s="235"/>
      <c r="C66" s="14"/>
      <c r="D66" s="18" t="s">
        <v>4074</v>
      </c>
      <c r="E66" s="18"/>
      <c r="F66" s="18" t="s">
        <v>22</v>
      </c>
      <c r="G66" s="18"/>
      <c r="H66" s="18"/>
      <c r="I66" s="18"/>
      <c r="J66" s="18"/>
      <c r="K66" s="18"/>
      <c r="L66" s="18"/>
      <c r="M66" s="18"/>
      <c r="N66" s="18"/>
      <c r="O66" s="366" t="s">
        <v>4119</v>
      </c>
    </row>
    <row r="67" spans="1:15" ht="24" customHeight="1">
      <c r="B67" s="234" t="s">
        <v>3978</v>
      </c>
      <c r="C67" s="15"/>
      <c r="D67" s="16" t="s">
        <v>4075</v>
      </c>
      <c r="E67" s="18"/>
      <c r="F67" s="18" t="s">
        <v>3968</v>
      </c>
      <c r="G67" s="18"/>
      <c r="H67" s="18"/>
      <c r="I67" s="18"/>
      <c r="J67" s="18"/>
      <c r="K67" s="18"/>
      <c r="L67" s="18"/>
      <c r="M67" s="18"/>
      <c r="N67" s="18"/>
      <c r="O67" s="366" t="s">
        <v>4132</v>
      </c>
    </row>
    <row r="68" spans="1:15" ht="24" customHeight="1">
      <c r="B68" s="361"/>
      <c r="C68" s="15"/>
      <c r="D68" s="232"/>
      <c r="E68" s="16" t="s">
        <v>4083</v>
      </c>
      <c r="F68" s="232"/>
      <c r="G68" s="18" t="s">
        <v>3968</v>
      </c>
      <c r="H68" s="18"/>
      <c r="I68" s="18"/>
      <c r="J68" s="18"/>
      <c r="K68" s="18"/>
      <c r="L68" s="18"/>
      <c r="M68" s="18"/>
      <c r="N68" s="18"/>
      <c r="O68" s="366" t="s">
        <v>4121</v>
      </c>
    </row>
    <row r="69" spans="1:15" ht="24" customHeight="1">
      <c r="B69" s="361"/>
      <c r="C69" s="15"/>
      <c r="D69" s="232"/>
      <c r="E69" s="232"/>
      <c r="F69" s="20"/>
      <c r="G69" s="18" t="s">
        <v>4094</v>
      </c>
      <c r="H69" s="18"/>
      <c r="I69" s="18"/>
      <c r="J69" s="18"/>
      <c r="K69" s="18"/>
      <c r="L69" s="18"/>
      <c r="M69" s="18"/>
      <c r="N69" s="18"/>
      <c r="O69" s="366" t="s">
        <v>4122</v>
      </c>
    </row>
    <row r="70" spans="1:15" ht="24" customHeight="1">
      <c r="B70" s="361"/>
      <c r="C70" s="15"/>
      <c r="D70" s="232"/>
      <c r="E70" s="16" t="s">
        <v>4084</v>
      </c>
      <c r="F70" s="232"/>
      <c r="G70" s="18" t="s">
        <v>3968</v>
      </c>
      <c r="H70" s="18"/>
      <c r="I70" s="18"/>
      <c r="J70" s="18"/>
      <c r="K70" s="18"/>
      <c r="L70" s="18"/>
      <c r="M70" s="18"/>
      <c r="N70" s="18"/>
      <c r="O70" s="366" t="s">
        <v>4123</v>
      </c>
    </row>
    <row r="71" spans="1:15" ht="24" customHeight="1">
      <c r="B71" s="361"/>
      <c r="C71" s="15"/>
      <c r="D71" s="232"/>
      <c r="E71" s="232"/>
      <c r="F71" s="20"/>
      <c r="G71" s="18" t="s">
        <v>4094</v>
      </c>
      <c r="H71" s="18"/>
      <c r="I71" s="18"/>
      <c r="J71" s="18"/>
      <c r="K71" s="18"/>
      <c r="L71" s="18"/>
      <c r="M71" s="18"/>
      <c r="N71" s="18"/>
      <c r="O71" s="366" t="s">
        <v>4124</v>
      </c>
    </row>
    <row r="72" spans="1:15" ht="24" customHeight="1">
      <c r="B72" s="238" t="s">
        <v>27</v>
      </c>
      <c r="C72" s="15"/>
      <c r="D72" s="18" t="s">
        <v>4001</v>
      </c>
      <c r="E72" s="18"/>
      <c r="F72" s="20"/>
      <c r="G72" s="20"/>
      <c r="H72" s="20"/>
      <c r="I72" s="20"/>
      <c r="J72" s="20"/>
      <c r="K72" s="20"/>
      <c r="L72" s="20"/>
      <c r="M72" s="20"/>
      <c r="N72" s="20"/>
      <c r="O72" s="366" t="s">
        <v>4120</v>
      </c>
    </row>
    <row r="73" spans="1:15" ht="24" customHeight="1">
      <c r="B73" s="237"/>
      <c r="C73" s="252" t="s">
        <v>232</v>
      </c>
      <c r="D73" s="784"/>
      <c r="E73" s="784"/>
      <c r="F73" s="784"/>
      <c r="G73" s="784"/>
      <c r="H73" s="784"/>
      <c r="I73" s="784"/>
      <c r="J73" s="784"/>
      <c r="K73" s="784"/>
      <c r="L73" s="784"/>
      <c r="M73" s="784"/>
      <c r="N73" s="784"/>
    </row>
    <row r="77" spans="1:15">
      <c r="A77" s="367" t="s">
        <v>4125</v>
      </c>
    </row>
    <row r="78" spans="1:15" ht="24" customHeight="1">
      <c r="B78" s="235"/>
      <c r="C78" s="14"/>
      <c r="D78" s="18" t="s">
        <v>4074</v>
      </c>
      <c r="E78" s="18"/>
      <c r="F78" s="18" t="s">
        <v>22</v>
      </c>
      <c r="G78" s="18"/>
      <c r="H78" s="18"/>
      <c r="I78" s="18"/>
      <c r="J78" s="18"/>
      <c r="K78" s="18"/>
      <c r="L78" s="18"/>
      <c r="M78" s="18"/>
      <c r="N78" s="18"/>
      <c r="O78" s="366" t="s">
        <v>4129</v>
      </c>
    </row>
    <row r="79" spans="1:15" ht="24" customHeight="1">
      <c r="B79" s="234" t="s">
        <v>3978</v>
      </c>
      <c r="C79" s="15"/>
      <c r="D79" s="16" t="s">
        <v>4075</v>
      </c>
      <c r="E79" s="18"/>
      <c r="F79" s="18" t="s">
        <v>3968</v>
      </c>
      <c r="G79" s="18"/>
      <c r="H79" s="18"/>
      <c r="I79" s="18"/>
      <c r="J79" s="18"/>
      <c r="K79" s="18"/>
      <c r="L79" s="18"/>
      <c r="M79" s="18"/>
      <c r="N79" s="18"/>
      <c r="O79" s="366" t="s">
        <v>4105</v>
      </c>
    </row>
    <row r="80" spans="1:15" ht="24" customHeight="1">
      <c r="B80" s="361"/>
      <c r="C80" s="15"/>
      <c r="D80" s="232"/>
      <c r="E80" s="16" t="s">
        <v>4083</v>
      </c>
      <c r="F80" s="232"/>
      <c r="G80" s="18" t="s">
        <v>3968</v>
      </c>
      <c r="H80" s="18"/>
      <c r="I80" s="18"/>
      <c r="J80" s="18"/>
      <c r="K80" s="18"/>
      <c r="L80" s="18"/>
      <c r="M80" s="18"/>
      <c r="N80" s="18"/>
      <c r="O80" s="366" t="s">
        <v>4127</v>
      </c>
    </row>
    <row r="81" spans="2:15" ht="24" customHeight="1">
      <c r="B81" s="361"/>
      <c r="C81" s="15"/>
      <c r="D81" s="232"/>
      <c r="E81" s="232"/>
      <c r="F81" s="20"/>
      <c r="G81" s="18" t="s">
        <v>4094</v>
      </c>
      <c r="H81" s="18"/>
      <c r="I81" s="18"/>
      <c r="J81" s="18"/>
      <c r="K81" s="18"/>
      <c r="L81" s="18"/>
      <c r="M81" s="18"/>
      <c r="N81" s="18"/>
      <c r="O81" s="366" t="s">
        <v>4126</v>
      </c>
    </row>
    <row r="82" spans="2:15" ht="24" customHeight="1">
      <c r="B82" s="361"/>
      <c r="C82" s="15"/>
      <c r="D82" s="232"/>
      <c r="E82" s="16" t="s">
        <v>4084</v>
      </c>
      <c r="F82" s="232"/>
      <c r="G82" s="18" t="s">
        <v>3968</v>
      </c>
      <c r="H82" s="18"/>
      <c r="I82" s="18"/>
      <c r="J82" s="18"/>
      <c r="K82" s="18"/>
      <c r="L82" s="18"/>
      <c r="M82" s="18"/>
      <c r="N82" s="18"/>
      <c r="O82" s="366" t="s">
        <v>4130</v>
      </c>
    </row>
    <row r="83" spans="2:15" ht="24" customHeight="1">
      <c r="B83" s="361"/>
      <c r="C83" s="15"/>
      <c r="D83" s="232"/>
      <c r="E83" s="232"/>
      <c r="F83" s="20"/>
      <c r="G83" s="18" t="s">
        <v>4094</v>
      </c>
      <c r="H83" s="18"/>
      <c r="I83" s="18"/>
      <c r="J83" s="18"/>
      <c r="K83" s="18"/>
      <c r="L83" s="18"/>
      <c r="M83" s="18"/>
      <c r="N83" s="18"/>
      <c r="O83" s="366" t="s">
        <v>4128</v>
      </c>
    </row>
    <row r="84" spans="2:15" ht="24" customHeight="1">
      <c r="B84" s="238" t="s">
        <v>27</v>
      </c>
      <c r="C84" s="15"/>
      <c r="D84" s="18" t="s">
        <v>4001</v>
      </c>
      <c r="E84" s="18"/>
      <c r="F84" s="20"/>
      <c r="G84" s="20"/>
      <c r="H84" s="20"/>
      <c r="I84" s="20"/>
      <c r="J84" s="20"/>
      <c r="K84" s="20"/>
      <c r="L84" s="20"/>
      <c r="M84" s="20"/>
      <c r="N84" s="20"/>
      <c r="O84" s="366" t="s">
        <v>4131</v>
      </c>
    </row>
    <row r="85" spans="2:15" ht="24" customHeight="1">
      <c r="B85" s="237"/>
      <c r="C85" s="252" t="s">
        <v>232</v>
      </c>
      <c r="D85" s="784"/>
      <c r="E85" s="784"/>
      <c r="F85" s="784"/>
      <c r="G85" s="784"/>
      <c r="H85" s="784"/>
      <c r="I85" s="784"/>
      <c r="J85" s="784"/>
      <c r="K85" s="784"/>
      <c r="L85" s="784"/>
      <c r="M85" s="784"/>
      <c r="N85" s="784"/>
    </row>
  </sheetData>
  <mergeCells count="9">
    <mergeCell ref="D21:N21"/>
    <mergeCell ref="D29:N29"/>
    <mergeCell ref="D34:N34"/>
    <mergeCell ref="D40:N40"/>
    <mergeCell ref="B41:B43"/>
    <mergeCell ref="D43:N43"/>
    <mergeCell ref="D65:N65"/>
    <mergeCell ref="D73:N73"/>
    <mergeCell ref="D85:N85"/>
  </mergeCells>
  <phoneticPr fontId="12"/>
  <conditionalFormatting sqref="D2:N2">
    <cfRule type="expression" dxfId="42" priority="49">
      <formula>$AF$43=TRUE</formula>
    </cfRule>
  </conditionalFormatting>
  <conditionalFormatting sqref="D3:N3">
    <cfRule type="expression" dxfId="41" priority="48">
      <formula>$AF$44=TRUE</formula>
    </cfRule>
  </conditionalFormatting>
  <conditionalFormatting sqref="D20:N20 D21">
    <cfRule type="expression" dxfId="40" priority="47">
      <formula>$AF20=TRUE</formula>
    </cfRule>
  </conditionalFormatting>
  <conditionalFormatting sqref="G4:N4">
    <cfRule type="expression" dxfId="39" priority="46">
      <formula>$AG$45=TRUE</formula>
    </cfRule>
  </conditionalFormatting>
  <conditionalFormatting sqref="G9:N10 H11:N11 G55:N55 G62:N63">
    <cfRule type="expression" dxfId="38" priority="45">
      <formula>$AG9=TRUE</formula>
    </cfRule>
  </conditionalFormatting>
  <conditionalFormatting sqref="H6:N8">
    <cfRule type="expression" dxfId="37" priority="44">
      <formula>$AH6=TRUE</formula>
    </cfRule>
  </conditionalFormatting>
  <conditionalFormatting sqref="D22:N22">
    <cfRule type="expression" dxfId="36" priority="43">
      <formula>$AF22=TRUE</formula>
    </cfRule>
  </conditionalFormatting>
  <conditionalFormatting sqref="D28:N28">
    <cfRule type="expression" dxfId="35" priority="42">
      <formula>$AF28=TRUE</formula>
    </cfRule>
  </conditionalFormatting>
  <conditionalFormatting sqref="D29">
    <cfRule type="expression" dxfId="34" priority="41">
      <formula>$AF29=TRUE</formula>
    </cfRule>
  </conditionalFormatting>
  <conditionalFormatting sqref="D34">
    <cfRule type="expression" dxfId="33" priority="40">
      <formula>$AF34=TRUE</formula>
    </cfRule>
  </conditionalFormatting>
  <conditionalFormatting sqref="D40">
    <cfRule type="expression" dxfId="32" priority="39">
      <formula>$AF40=TRUE</formula>
    </cfRule>
  </conditionalFormatting>
  <conditionalFormatting sqref="D43">
    <cfRule type="expression" dxfId="31" priority="38">
      <formula>$AF43=TRUE</formula>
    </cfRule>
  </conditionalFormatting>
  <conditionalFormatting sqref="D30:N33">
    <cfRule type="expression" dxfId="30" priority="37">
      <formula>$AF30=TRUE</formula>
    </cfRule>
  </conditionalFormatting>
  <conditionalFormatting sqref="D35:N37">
    <cfRule type="expression" dxfId="29" priority="36">
      <formula>$AF35=TRUE</formula>
    </cfRule>
  </conditionalFormatting>
  <conditionalFormatting sqref="D39:N39">
    <cfRule type="expression" dxfId="28" priority="35">
      <formula>$AF39=TRUE</formula>
    </cfRule>
  </conditionalFormatting>
  <conditionalFormatting sqref="D41:N42">
    <cfRule type="expression" dxfId="27" priority="34">
      <formula>$AF41=TRUE</formula>
    </cfRule>
  </conditionalFormatting>
  <conditionalFormatting sqref="F38:N38">
    <cfRule type="expression" dxfId="26" priority="33">
      <formula>$AG38=TRUE</formula>
    </cfRule>
  </conditionalFormatting>
  <conditionalFormatting sqref="G11">
    <cfRule type="expression" dxfId="25" priority="32">
      <formula>$AG11=TRUE</formula>
    </cfRule>
  </conditionalFormatting>
  <conditionalFormatting sqref="G12:N12">
    <cfRule type="expression" dxfId="24" priority="31">
      <formula>$AG12=TRUE</formula>
    </cfRule>
  </conditionalFormatting>
  <conditionalFormatting sqref="H14:N16">
    <cfRule type="expression" dxfId="23" priority="30">
      <formula>$AH14=TRUE</formula>
    </cfRule>
  </conditionalFormatting>
  <conditionalFormatting sqref="D23:N23">
    <cfRule type="expression" dxfId="22" priority="29">
      <formula>$AF23=TRUE</formula>
    </cfRule>
  </conditionalFormatting>
  <conditionalFormatting sqref="G17:N19">
    <cfRule type="expression" dxfId="21" priority="28">
      <formula>$AG17=TRUE</formula>
    </cfRule>
  </conditionalFormatting>
  <conditionalFormatting sqref="G24:N27">
    <cfRule type="expression" dxfId="20" priority="27">
      <formula>$AG24=TRUE</formula>
    </cfRule>
  </conditionalFormatting>
  <conditionalFormatting sqref="D48:N48">
    <cfRule type="expression" dxfId="19" priority="26">
      <formula>$AF$43=TRUE</formula>
    </cfRule>
  </conditionalFormatting>
  <conditionalFormatting sqref="D49:N49">
    <cfRule type="expression" dxfId="18" priority="25">
      <formula>$AF$44=TRUE</formula>
    </cfRule>
  </conditionalFormatting>
  <conditionalFormatting sqref="D64:N64 D65">
    <cfRule type="expression" dxfId="17" priority="24">
      <formula>$AF64=TRUE</formula>
    </cfRule>
  </conditionalFormatting>
  <conditionalFormatting sqref="G50:N50">
    <cfRule type="expression" dxfId="16" priority="23">
      <formula>$AG$45=TRUE</formula>
    </cfRule>
  </conditionalFormatting>
  <conditionalFormatting sqref="H56:N56">
    <cfRule type="expression" dxfId="15" priority="22">
      <formula>$AG56=TRUE</formula>
    </cfRule>
  </conditionalFormatting>
  <conditionalFormatting sqref="H52:N54">
    <cfRule type="expression" dxfId="14" priority="21">
      <formula>$AH52=TRUE</formula>
    </cfRule>
  </conditionalFormatting>
  <conditionalFormatting sqref="D66:N66">
    <cfRule type="expression" dxfId="13" priority="20">
      <formula>$AF66=TRUE</formula>
    </cfRule>
  </conditionalFormatting>
  <conditionalFormatting sqref="D72:N72">
    <cfRule type="expression" dxfId="12" priority="19">
      <formula>$AF72=TRUE</formula>
    </cfRule>
  </conditionalFormatting>
  <conditionalFormatting sqref="D73">
    <cfRule type="expression" dxfId="11" priority="18">
      <formula>$AF73=TRUE</formula>
    </cfRule>
  </conditionalFormatting>
  <conditionalFormatting sqref="G56">
    <cfRule type="expression" dxfId="10" priority="17">
      <formula>$AG56=TRUE</formula>
    </cfRule>
  </conditionalFormatting>
  <conditionalFormatting sqref="G57:N57">
    <cfRule type="expression" dxfId="9" priority="16">
      <formula>$AG57=TRUE</formula>
    </cfRule>
  </conditionalFormatting>
  <conditionalFormatting sqref="H59:N61">
    <cfRule type="expression" dxfId="8" priority="15">
      <formula>$AH59=TRUE</formula>
    </cfRule>
  </conditionalFormatting>
  <conditionalFormatting sqref="D67:N67">
    <cfRule type="expression" dxfId="7" priority="14">
      <formula>$AF67=TRUE</formula>
    </cfRule>
  </conditionalFormatting>
  <conditionalFormatting sqref="G68:N71">
    <cfRule type="expression" dxfId="6" priority="12">
      <formula>$AG68=TRUE</formula>
    </cfRule>
  </conditionalFormatting>
  <conditionalFormatting sqref="D78:N78">
    <cfRule type="expression" dxfId="5" priority="5">
      <formula>$AF78=TRUE</formula>
    </cfRule>
  </conditionalFormatting>
  <conditionalFormatting sqref="D84:N84">
    <cfRule type="expression" dxfId="4" priority="4">
      <formula>$AF84=TRUE</formula>
    </cfRule>
  </conditionalFormatting>
  <conditionalFormatting sqref="D85">
    <cfRule type="expression" dxfId="3" priority="3">
      <formula>$AF85=TRUE</formula>
    </cfRule>
  </conditionalFormatting>
  <conditionalFormatting sqref="D79:N79">
    <cfRule type="expression" dxfId="2" priority="2">
      <formula>$AF79=TRUE</formula>
    </cfRule>
  </conditionalFormatting>
  <conditionalFormatting sqref="G80:N83">
    <cfRule type="expression" dxfId="1" priority="1">
      <formula>$AG80=TRUE</formula>
    </cfRule>
  </conditionalFormatting>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134CA-1FE4-42C6-9865-E51870AE1503}">
  <sheetPr codeName="Sheet12">
    <tabColor theme="0" tint="-0.14999847407452621"/>
    <pageSetUpPr fitToPage="1"/>
  </sheetPr>
  <dimension ref="A1:AC2"/>
  <sheetViews>
    <sheetView showGridLines="0" view="pageBreakPreview" zoomScale="60" zoomScaleNormal="100" workbookViewId="0">
      <selection activeCell="AD1" sqref="AD1"/>
    </sheetView>
  </sheetViews>
  <sheetFormatPr defaultRowHeight="18.75"/>
  <sheetData>
    <row r="1" spans="1:29">
      <c r="A1" s="30" t="s">
        <v>237</v>
      </c>
      <c r="AC1" s="347" t="s">
        <v>4070</v>
      </c>
    </row>
    <row r="2" spans="1:29">
      <c r="AC2" s="347" t="s">
        <v>4071</v>
      </c>
    </row>
  </sheetData>
  <sheetProtection algorithmName="SHA-512" hashValue="vI+W8I5yCMNGqVwtc/a6MkOXB1GOA6ulqxsBsJL9BBzDeG29E4Jg1l2Twb6OSUSqqjapRHy97aTMH0d5pJMmHg==" saltValue="9OWR7PfBHrGGXC+U6RmEHg==" spinCount="100000" sheet="1" objects="1" scenarios="1" selectLockedCells="1"/>
  <phoneticPr fontId="12"/>
  <printOptions horizontalCentered="1" verticalCentered="1"/>
  <pageMargins left="0" right="0" top="0" bottom="0" header="0.31496062992125984" footer="0.31496062992125984"/>
  <pageSetup paperSize="9" scale="49" orientation="landscape"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CA213-84D6-41C6-B3D6-DE7D6590A13B}">
  <sheetPr codeName="Sheet8">
    <tabColor theme="0" tint="-0.14999847407452621"/>
    <pageSetUpPr fitToPage="1"/>
  </sheetPr>
  <dimension ref="A1:AB2"/>
  <sheetViews>
    <sheetView showGridLines="0" tabSelected="1" view="pageBreakPreview" zoomScale="60" zoomScaleNormal="100" workbookViewId="0">
      <selection activeCell="V34" sqref="V34"/>
    </sheetView>
  </sheetViews>
  <sheetFormatPr defaultColWidth="9" defaultRowHeight="19.5" customHeight="1"/>
  <cols>
    <col min="1" max="1" width="3.75" style="27" customWidth="1"/>
    <col min="2" max="16384" width="9" style="27"/>
  </cols>
  <sheetData>
    <row r="1" spans="1:28" ht="19.5" customHeight="1">
      <c r="A1" s="30" t="s">
        <v>319</v>
      </c>
      <c r="AB1" s="347" t="s">
        <v>4070</v>
      </c>
    </row>
    <row r="2" spans="1:28" ht="19.5" customHeight="1">
      <c r="A2" s="30"/>
      <c r="AB2" s="347" t="s">
        <v>4071</v>
      </c>
    </row>
  </sheetData>
  <sheetProtection algorithmName="SHA-512" hashValue="2htYIQQ5BOoVGTjVRyhDyJily6QHLEOcRzlV7Ui6jEybngAbwr7UllC8+du90/NmAa4bHNjXtX/weuljAeQpxA==" saltValue="2LkXdmKst1FY3bJup6c+xg==" spinCount="100000" sheet="1" objects="1" scenarios="1" selectLockedCells="1"/>
  <phoneticPr fontId="12"/>
  <printOptions horizontalCentered="1" verticalCentered="1"/>
  <pageMargins left="0" right="0" top="0" bottom="0" header="0.31496062992125984" footer="0.31496062992125984"/>
  <pageSetup paperSize="9" scale="53" orientation="landscape"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30D29-666B-4D84-B15A-59145A464CAC}">
  <sheetPr codeName="Sheet13">
    <tabColor theme="0" tint="-0.499984740745262"/>
  </sheetPr>
  <dimension ref="A1:N1713"/>
  <sheetViews>
    <sheetView showGridLines="0" zoomScaleNormal="100" workbookViewId="0">
      <selection activeCell="B1" sqref="B1"/>
    </sheetView>
  </sheetViews>
  <sheetFormatPr defaultColWidth="2.625" defaultRowHeight="15" customHeight="1"/>
  <cols>
    <col min="1" max="1" width="4.25" style="155" bestFit="1" customWidth="1"/>
    <col min="2" max="2" width="10.25" style="156" bestFit="1" customWidth="1"/>
    <col min="3" max="3" width="78.375" style="155" bestFit="1" customWidth="1"/>
    <col min="4" max="4" width="7.625" style="155" customWidth="1"/>
    <col min="5" max="5" width="10.5" style="156" bestFit="1" customWidth="1"/>
    <col min="6" max="6" width="4.25" style="157" bestFit="1" customWidth="1"/>
    <col min="7" max="7" width="2.625" style="155"/>
    <col min="8" max="8" width="4.25" style="155" bestFit="1" customWidth="1"/>
    <col min="9" max="11" width="2.625" style="155"/>
    <col min="12" max="12" width="10.25" style="155" bestFit="1" customWidth="1"/>
    <col min="13" max="13" width="4.25" style="155" bestFit="1" customWidth="1"/>
    <col min="14" max="16384" width="2.625" style="155"/>
  </cols>
  <sheetData>
    <row r="1" spans="1:14" ht="15" customHeight="1">
      <c r="B1" s="155" t="s">
        <v>516</v>
      </c>
      <c r="N1" s="158" t="s">
        <v>517</v>
      </c>
    </row>
    <row r="2" spans="1:14" ht="15" customHeight="1">
      <c r="B2" s="785" t="s">
        <v>518</v>
      </c>
      <c r="C2" s="785" t="s">
        <v>519</v>
      </c>
      <c r="D2" s="786" t="s">
        <v>520</v>
      </c>
      <c r="E2" s="159" t="s">
        <v>521</v>
      </c>
      <c r="L2" s="785" t="s">
        <v>518</v>
      </c>
    </row>
    <row r="3" spans="1:14" ht="15" customHeight="1">
      <c r="B3" s="785"/>
      <c r="C3" s="785"/>
      <c r="D3" s="787"/>
      <c r="E3" s="160" t="s">
        <v>522</v>
      </c>
      <c r="L3" s="786"/>
    </row>
    <row r="4" spans="1:14" ht="15" customHeight="1">
      <c r="A4" s="155">
        <v>1</v>
      </c>
      <c r="B4" s="161" t="s">
        <v>523</v>
      </c>
      <c r="C4" s="162" t="s">
        <v>524</v>
      </c>
      <c r="D4" s="162" t="str">
        <f t="shared" ref="D4:D67" si="0">B4&amp;C4</f>
        <v>北海道愛別町</v>
      </c>
      <c r="E4" s="161">
        <v>1</v>
      </c>
      <c r="F4" s="163" t="s">
        <v>525</v>
      </c>
      <c r="L4" s="164" t="s">
        <v>526</v>
      </c>
      <c r="M4" s="155">
        <v>1</v>
      </c>
    </row>
    <row r="5" spans="1:14" ht="15" customHeight="1">
      <c r="A5" s="155">
        <v>1</v>
      </c>
      <c r="B5" s="161" t="s">
        <v>523</v>
      </c>
      <c r="C5" s="162" t="s">
        <v>527</v>
      </c>
      <c r="D5" s="162" t="str">
        <f t="shared" si="0"/>
        <v>北海道赤井川村</v>
      </c>
      <c r="E5" s="161">
        <v>2</v>
      </c>
      <c r="F5" s="163" t="s">
        <v>528</v>
      </c>
      <c r="L5" s="164" t="s">
        <v>529</v>
      </c>
      <c r="M5" s="155">
        <v>2</v>
      </c>
    </row>
    <row r="6" spans="1:14" ht="15" customHeight="1">
      <c r="A6" s="155">
        <v>1</v>
      </c>
      <c r="B6" s="161" t="s">
        <v>523</v>
      </c>
      <c r="C6" s="162" t="s">
        <v>530</v>
      </c>
      <c r="D6" s="162" t="str">
        <f t="shared" si="0"/>
        <v>北海道赤平市</v>
      </c>
      <c r="E6" s="161">
        <v>2</v>
      </c>
      <c r="F6" s="163" t="s">
        <v>531</v>
      </c>
      <c r="L6" s="164" t="s">
        <v>532</v>
      </c>
      <c r="M6" s="155">
        <v>3</v>
      </c>
    </row>
    <row r="7" spans="1:14" ht="15" customHeight="1">
      <c r="A7" s="155">
        <v>1</v>
      </c>
      <c r="B7" s="161" t="s">
        <v>523</v>
      </c>
      <c r="C7" s="165" t="s">
        <v>533</v>
      </c>
      <c r="D7" s="166" t="str">
        <f t="shared" si="0"/>
        <v>北海道旭川市</v>
      </c>
      <c r="E7" s="161">
        <v>2</v>
      </c>
      <c r="F7" s="163" t="s">
        <v>534</v>
      </c>
      <c r="L7" s="164" t="s">
        <v>535</v>
      </c>
      <c r="M7" s="155">
        <v>4</v>
      </c>
    </row>
    <row r="8" spans="1:14" ht="15" customHeight="1">
      <c r="A8" s="155">
        <v>1</v>
      </c>
      <c r="B8" s="161" t="s">
        <v>523</v>
      </c>
      <c r="C8" s="162" t="s">
        <v>536</v>
      </c>
      <c r="D8" s="162" t="str">
        <f t="shared" si="0"/>
        <v>北海道芦別市</v>
      </c>
      <c r="E8" s="161">
        <v>2</v>
      </c>
      <c r="F8" s="163" t="s">
        <v>537</v>
      </c>
      <c r="L8" s="164" t="s">
        <v>538</v>
      </c>
      <c r="M8" s="155">
        <v>5</v>
      </c>
    </row>
    <row r="9" spans="1:14" ht="15" customHeight="1">
      <c r="A9" s="155">
        <v>1</v>
      </c>
      <c r="B9" s="161" t="s">
        <v>523</v>
      </c>
      <c r="C9" s="162" t="s">
        <v>539</v>
      </c>
      <c r="D9" s="162" t="str">
        <f t="shared" si="0"/>
        <v>北海道足寄町</v>
      </c>
      <c r="E9" s="161">
        <v>1</v>
      </c>
      <c r="F9" s="163" t="s">
        <v>540</v>
      </c>
      <c r="L9" s="164" t="s">
        <v>541</v>
      </c>
      <c r="M9" s="155">
        <v>6</v>
      </c>
    </row>
    <row r="10" spans="1:14" ht="15" customHeight="1">
      <c r="A10" s="155">
        <v>1</v>
      </c>
      <c r="B10" s="161" t="s">
        <v>523</v>
      </c>
      <c r="C10" s="162" t="s">
        <v>542</v>
      </c>
      <c r="D10" s="162" t="str">
        <f t="shared" si="0"/>
        <v>北海道厚岸町</v>
      </c>
      <c r="E10" s="161">
        <v>2</v>
      </c>
      <c r="F10" s="163" t="s">
        <v>543</v>
      </c>
      <c r="L10" s="164" t="s">
        <v>544</v>
      </c>
      <c r="M10" s="155">
        <v>7</v>
      </c>
    </row>
    <row r="11" spans="1:14" ht="15" customHeight="1">
      <c r="A11" s="155">
        <v>1</v>
      </c>
      <c r="B11" s="161" t="s">
        <v>523</v>
      </c>
      <c r="C11" s="162" t="s">
        <v>545</v>
      </c>
      <c r="D11" s="162" t="str">
        <f t="shared" si="0"/>
        <v>北海道厚沢部町</v>
      </c>
      <c r="E11" s="161">
        <v>3</v>
      </c>
      <c r="F11" s="163" t="s">
        <v>546</v>
      </c>
      <c r="L11" s="164" t="s">
        <v>547</v>
      </c>
      <c r="M11" s="155">
        <v>8</v>
      </c>
    </row>
    <row r="12" spans="1:14" ht="15" customHeight="1">
      <c r="A12" s="155">
        <v>1</v>
      </c>
      <c r="B12" s="161" t="s">
        <v>523</v>
      </c>
      <c r="C12" s="162" t="s">
        <v>548</v>
      </c>
      <c r="D12" s="162" t="str">
        <f t="shared" si="0"/>
        <v>北海道厚真町</v>
      </c>
      <c r="E12" s="161">
        <v>2</v>
      </c>
      <c r="F12" s="163" t="s">
        <v>549</v>
      </c>
      <c r="L12" s="164" t="s">
        <v>550</v>
      </c>
      <c r="M12" s="155">
        <v>9</v>
      </c>
    </row>
    <row r="13" spans="1:14" ht="15" customHeight="1">
      <c r="A13" s="155">
        <v>1</v>
      </c>
      <c r="B13" s="161" t="s">
        <v>523</v>
      </c>
      <c r="C13" s="162" t="s">
        <v>551</v>
      </c>
      <c r="D13" s="162" t="str">
        <f t="shared" si="0"/>
        <v>北海道網走市</v>
      </c>
      <c r="E13" s="161">
        <v>2</v>
      </c>
      <c r="F13" s="163" t="s">
        <v>552</v>
      </c>
      <c r="L13" s="164" t="s">
        <v>553</v>
      </c>
      <c r="M13" s="155">
        <v>10</v>
      </c>
    </row>
    <row r="14" spans="1:14" ht="15" customHeight="1">
      <c r="A14" s="155">
        <v>1</v>
      </c>
      <c r="B14" s="161" t="s">
        <v>523</v>
      </c>
      <c r="C14" s="162" t="s">
        <v>554</v>
      </c>
      <c r="D14" s="162" t="str">
        <f t="shared" si="0"/>
        <v>北海道安平町</v>
      </c>
      <c r="E14" s="161">
        <v>2</v>
      </c>
      <c r="F14" s="163" t="s">
        <v>555</v>
      </c>
      <c r="L14" s="164" t="s">
        <v>556</v>
      </c>
      <c r="M14" s="155">
        <v>11</v>
      </c>
    </row>
    <row r="15" spans="1:14" ht="15" customHeight="1">
      <c r="A15" s="155">
        <v>1</v>
      </c>
      <c r="B15" s="161" t="s">
        <v>523</v>
      </c>
      <c r="C15" s="162" t="s">
        <v>557</v>
      </c>
      <c r="D15" s="162" t="str">
        <f t="shared" si="0"/>
        <v>北海道池田町</v>
      </c>
      <c r="E15" s="161">
        <v>2</v>
      </c>
      <c r="F15" s="163" t="s">
        <v>558</v>
      </c>
      <c r="L15" s="164" t="s">
        <v>559</v>
      </c>
      <c r="M15" s="155">
        <v>12</v>
      </c>
    </row>
    <row r="16" spans="1:14" ht="15" customHeight="1">
      <c r="A16" s="155">
        <v>1</v>
      </c>
      <c r="B16" s="161" t="s">
        <v>523</v>
      </c>
      <c r="C16" s="162" t="s">
        <v>560</v>
      </c>
      <c r="D16" s="162" t="str">
        <f t="shared" si="0"/>
        <v>北海道石狩市</v>
      </c>
      <c r="E16" s="161">
        <v>2</v>
      </c>
      <c r="F16" s="163" t="s">
        <v>561</v>
      </c>
      <c r="L16" s="164" t="s">
        <v>562</v>
      </c>
      <c r="M16" s="155">
        <v>13</v>
      </c>
    </row>
    <row r="17" spans="1:13" ht="15" customHeight="1">
      <c r="A17" s="155">
        <v>1</v>
      </c>
      <c r="B17" s="161" t="s">
        <v>523</v>
      </c>
      <c r="C17" s="162" t="s">
        <v>563</v>
      </c>
      <c r="D17" s="162" t="str">
        <f t="shared" si="0"/>
        <v>北海道今金町</v>
      </c>
      <c r="E17" s="161">
        <v>2</v>
      </c>
      <c r="F17" s="163" t="s">
        <v>564</v>
      </c>
      <c r="L17" s="164" t="s">
        <v>565</v>
      </c>
      <c r="M17" s="155">
        <v>14</v>
      </c>
    </row>
    <row r="18" spans="1:13" ht="15" customHeight="1">
      <c r="A18" s="155">
        <v>1</v>
      </c>
      <c r="B18" s="161" t="s">
        <v>523</v>
      </c>
      <c r="C18" s="162" t="s">
        <v>566</v>
      </c>
      <c r="D18" s="162" t="str">
        <f t="shared" si="0"/>
        <v>北海道岩内町</v>
      </c>
      <c r="E18" s="161">
        <v>2</v>
      </c>
      <c r="F18" s="163" t="s">
        <v>567</v>
      </c>
      <c r="L18" s="164" t="s">
        <v>568</v>
      </c>
      <c r="M18" s="155">
        <v>15</v>
      </c>
    </row>
    <row r="19" spans="1:13" ht="15" customHeight="1">
      <c r="A19" s="155">
        <v>1</v>
      </c>
      <c r="B19" s="161" t="s">
        <v>523</v>
      </c>
      <c r="C19" s="162" t="s">
        <v>569</v>
      </c>
      <c r="D19" s="162" t="str">
        <f t="shared" si="0"/>
        <v>北海道岩見沢市</v>
      </c>
      <c r="E19" s="161">
        <v>2</v>
      </c>
      <c r="F19" s="163" t="s">
        <v>570</v>
      </c>
      <c r="L19" s="164" t="s">
        <v>571</v>
      </c>
      <c r="M19" s="155">
        <v>16</v>
      </c>
    </row>
    <row r="20" spans="1:13" ht="15" customHeight="1">
      <c r="A20" s="155">
        <v>1</v>
      </c>
      <c r="B20" s="161" t="s">
        <v>523</v>
      </c>
      <c r="C20" s="162" t="s">
        <v>572</v>
      </c>
      <c r="D20" s="162" t="str">
        <f t="shared" si="0"/>
        <v>北海道歌志内市</v>
      </c>
      <c r="E20" s="161">
        <v>2</v>
      </c>
      <c r="F20" s="163" t="s">
        <v>573</v>
      </c>
      <c r="L20" s="164" t="s">
        <v>574</v>
      </c>
      <c r="M20" s="155">
        <v>17</v>
      </c>
    </row>
    <row r="21" spans="1:13" ht="15" customHeight="1">
      <c r="A21" s="155">
        <v>1</v>
      </c>
      <c r="B21" s="161" t="s">
        <v>523</v>
      </c>
      <c r="C21" s="162" t="s">
        <v>575</v>
      </c>
      <c r="D21" s="162" t="str">
        <f t="shared" si="0"/>
        <v>北海道浦臼町</v>
      </c>
      <c r="E21" s="161">
        <v>2</v>
      </c>
      <c r="F21" s="163" t="s">
        <v>576</v>
      </c>
      <c r="L21" s="164" t="s">
        <v>577</v>
      </c>
      <c r="M21" s="155">
        <v>18</v>
      </c>
    </row>
    <row r="22" spans="1:13" ht="15" customHeight="1">
      <c r="A22" s="155">
        <v>1</v>
      </c>
      <c r="B22" s="161" t="s">
        <v>523</v>
      </c>
      <c r="C22" s="162" t="s">
        <v>578</v>
      </c>
      <c r="D22" s="162" t="str">
        <f t="shared" si="0"/>
        <v>北海道浦河町</v>
      </c>
      <c r="E22" s="161">
        <v>2</v>
      </c>
      <c r="F22" s="163" t="s">
        <v>579</v>
      </c>
      <c r="L22" s="164" t="s">
        <v>580</v>
      </c>
      <c r="M22" s="155">
        <v>19</v>
      </c>
    </row>
    <row r="23" spans="1:13" ht="15" customHeight="1">
      <c r="A23" s="155">
        <v>1</v>
      </c>
      <c r="B23" s="161" t="s">
        <v>523</v>
      </c>
      <c r="C23" s="162" t="s">
        <v>581</v>
      </c>
      <c r="D23" s="162" t="str">
        <f t="shared" si="0"/>
        <v>北海道浦幌町</v>
      </c>
      <c r="E23" s="161">
        <v>2</v>
      </c>
      <c r="F23" s="163" t="s">
        <v>582</v>
      </c>
      <c r="L23" s="164" t="s">
        <v>583</v>
      </c>
      <c r="M23" s="155">
        <v>20</v>
      </c>
    </row>
    <row r="24" spans="1:13" ht="15" customHeight="1">
      <c r="A24" s="155">
        <v>1</v>
      </c>
      <c r="B24" s="161" t="s">
        <v>523</v>
      </c>
      <c r="C24" s="162" t="s">
        <v>584</v>
      </c>
      <c r="D24" s="162" t="str">
        <f t="shared" si="0"/>
        <v>北海道雨竜町</v>
      </c>
      <c r="E24" s="161">
        <v>2</v>
      </c>
      <c r="F24" s="163" t="s">
        <v>585</v>
      </c>
      <c r="L24" s="164" t="s">
        <v>586</v>
      </c>
      <c r="M24" s="155">
        <v>21</v>
      </c>
    </row>
    <row r="25" spans="1:13" ht="15" customHeight="1">
      <c r="A25" s="155">
        <v>1</v>
      </c>
      <c r="B25" s="161" t="s">
        <v>523</v>
      </c>
      <c r="C25" s="162" t="s">
        <v>587</v>
      </c>
      <c r="D25" s="162" t="str">
        <f t="shared" si="0"/>
        <v>北海道江差町</v>
      </c>
      <c r="E25" s="161">
        <v>3</v>
      </c>
      <c r="F25" s="163" t="s">
        <v>588</v>
      </c>
      <c r="L25" s="164" t="s">
        <v>589</v>
      </c>
      <c r="M25" s="155">
        <v>22</v>
      </c>
    </row>
    <row r="26" spans="1:13" ht="15" customHeight="1">
      <c r="A26" s="155">
        <v>1</v>
      </c>
      <c r="B26" s="161" t="s">
        <v>523</v>
      </c>
      <c r="C26" s="162" t="s">
        <v>590</v>
      </c>
      <c r="D26" s="162" t="str">
        <f t="shared" si="0"/>
        <v>北海道枝幸町（旧歌登町に限る。）</v>
      </c>
      <c r="E26" s="161">
        <v>1</v>
      </c>
      <c r="F26" s="163" t="s">
        <v>591</v>
      </c>
      <c r="L26" s="164" t="s">
        <v>592</v>
      </c>
      <c r="M26" s="155">
        <v>23</v>
      </c>
    </row>
    <row r="27" spans="1:13" ht="15" customHeight="1">
      <c r="A27" s="155">
        <v>1</v>
      </c>
      <c r="B27" s="161" t="s">
        <v>523</v>
      </c>
      <c r="C27" s="162" t="s">
        <v>593</v>
      </c>
      <c r="D27" s="162" t="str">
        <f t="shared" si="0"/>
        <v>北海道枝幸町（旧枝幸町に限る。）</v>
      </c>
      <c r="E27" s="161">
        <v>2</v>
      </c>
      <c r="F27" s="163" t="s">
        <v>594</v>
      </c>
      <c r="L27" s="164" t="s">
        <v>595</v>
      </c>
      <c r="M27" s="155">
        <v>24</v>
      </c>
    </row>
    <row r="28" spans="1:13" ht="15" customHeight="1">
      <c r="A28" s="155">
        <v>1</v>
      </c>
      <c r="B28" s="161" t="s">
        <v>523</v>
      </c>
      <c r="C28" s="162" t="s">
        <v>596</v>
      </c>
      <c r="D28" s="162" t="str">
        <f t="shared" si="0"/>
        <v>北海道恵庭市</v>
      </c>
      <c r="E28" s="161">
        <v>2</v>
      </c>
      <c r="F28" s="163" t="s">
        <v>597</v>
      </c>
      <c r="L28" s="164" t="s">
        <v>598</v>
      </c>
      <c r="M28" s="155">
        <v>25</v>
      </c>
    </row>
    <row r="29" spans="1:13" ht="15" customHeight="1">
      <c r="A29" s="155">
        <v>1</v>
      </c>
      <c r="B29" s="161" t="s">
        <v>523</v>
      </c>
      <c r="C29" s="162" t="s">
        <v>599</v>
      </c>
      <c r="D29" s="162" t="str">
        <f t="shared" si="0"/>
        <v>北海道江別市</v>
      </c>
      <c r="E29" s="161">
        <v>2</v>
      </c>
      <c r="F29" s="163" t="s">
        <v>600</v>
      </c>
      <c r="L29" s="164" t="s">
        <v>601</v>
      </c>
      <c r="M29" s="155">
        <v>26</v>
      </c>
    </row>
    <row r="30" spans="1:13" ht="15" customHeight="1">
      <c r="A30" s="155">
        <v>1</v>
      </c>
      <c r="B30" s="161" t="s">
        <v>523</v>
      </c>
      <c r="C30" s="162" t="s">
        <v>602</v>
      </c>
      <c r="D30" s="162" t="str">
        <f t="shared" si="0"/>
        <v>北海道えりも町</v>
      </c>
      <c r="E30" s="161">
        <v>2</v>
      </c>
      <c r="F30" s="163" t="s">
        <v>603</v>
      </c>
      <c r="L30" s="164" t="s">
        <v>604</v>
      </c>
      <c r="M30" s="155">
        <v>27</v>
      </c>
    </row>
    <row r="31" spans="1:13" ht="15" customHeight="1">
      <c r="A31" s="155">
        <v>1</v>
      </c>
      <c r="B31" s="161" t="s">
        <v>523</v>
      </c>
      <c r="C31" s="162" t="s">
        <v>605</v>
      </c>
      <c r="D31" s="162" t="str">
        <f t="shared" si="0"/>
        <v>北海道遠軽町</v>
      </c>
      <c r="E31" s="161">
        <v>1</v>
      </c>
      <c r="F31" s="163" t="s">
        <v>606</v>
      </c>
      <c r="L31" s="164" t="s">
        <v>607</v>
      </c>
      <c r="M31" s="155">
        <v>28</v>
      </c>
    </row>
    <row r="32" spans="1:13" ht="15" customHeight="1">
      <c r="A32" s="155">
        <v>1</v>
      </c>
      <c r="B32" s="161" t="s">
        <v>523</v>
      </c>
      <c r="C32" s="162" t="s">
        <v>608</v>
      </c>
      <c r="D32" s="162" t="str">
        <f t="shared" si="0"/>
        <v>北海道遠別町</v>
      </c>
      <c r="E32" s="161">
        <v>2</v>
      </c>
      <c r="F32" s="163" t="s">
        <v>609</v>
      </c>
      <c r="L32" s="164" t="s">
        <v>610</v>
      </c>
      <c r="M32" s="155">
        <v>29</v>
      </c>
    </row>
    <row r="33" spans="1:13" ht="15" customHeight="1">
      <c r="A33" s="155">
        <v>1</v>
      </c>
      <c r="B33" s="161" t="s">
        <v>523</v>
      </c>
      <c r="C33" s="162" t="s">
        <v>611</v>
      </c>
      <c r="D33" s="162" t="str">
        <f t="shared" si="0"/>
        <v>北海道雄武町</v>
      </c>
      <c r="E33" s="161">
        <v>1</v>
      </c>
      <c r="F33" s="163" t="s">
        <v>612</v>
      </c>
      <c r="L33" s="164" t="s">
        <v>613</v>
      </c>
      <c r="M33" s="155">
        <v>30</v>
      </c>
    </row>
    <row r="34" spans="1:13" ht="15" customHeight="1">
      <c r="A34" s="155">
        <v>1</v>
      </c>
      <c r="B34" s="161" t="s">
        <v>523</v>
      </c>
      <c r="C34" s="162" t="s">
        <v>614</v>
      </c>
      <c r="D34" s="162" t="str">
        <f t="shared" si="0"/>
        <v>北海道大空町</v>
      </c>
      <c r="E34" s="161">
        <v>2</v>
      </c>
      <c r="F34" s="163" t="s">
        <v>615</v>
      </c>
      <c r="L34" s="164" t="s">
        <v>616</v>
      </c>
      <c r="M34" s="155">
        <v>31</v>
      </c>
    </row>
    <row r="35" spans="1:13" ht="15" customHeight="1">
      <c r="A35" s="155">
        <v>1</v>
      </c>
      <c r="B35" s="161" t="s">
        <v>523</v>
      </c>
      <c r="C35" s="162" t="s">
        <v>617</v>
      </c>
      <c r="D35" s="162" t="str">
        <f t="shared" si="0"/>
        <v>北海道奥尻町</v>
      </c>
      <c r="E35" s="161">
        <v>3</v>
      </c>
      <c r="F35" s="163" t="s">
        <v>618</v>
      </c>
      <c r="L35" s="164" t="s">
        <v>619</v>
      </c>
      <c r="M35" s="155">
        <v>32</v>
      </c>
    </row>
    <row r="36" spans="1:13" ht="15" customHeight="1">
      <c r="A36" s="155">
        <v>1</v>
      </c>
      <c r="B36" s="161" t="s">
        <v>523</v>
      </c>
      <c r="C36" s="162" t="s">
        <v>620</v>
      </c>
      <c r="D36" s="162" t="str">
        <f t="shared" si="0"/>
        <v>北海道置戸町</v>
      </c>
      <c r="E36" s="161">
        <v>1</v>
      </c>
      <c r="F36" s="163" t="s">
        <v>621</v>
      </c>
      <c r="L36" s="164" t="s">
        <v>622</v>
      </c>
      <c r="M36" s="155">
        <v>33</v>
      </c>
    </row>
    <row r="37" spans="1:13" ht="15" customHeight="1">
      <c r="A37" s="155">
        <v>1</v>
      </c>
      <c r="B37" s="161" t="s">
        <v>523</v>
      </c>
      <c r="C37" s="162" t="s">
        <v>623</v>
      </c>
      <c r="D37" s="162" t="str">
        <f t="shared" si="0"/>
        <v>北海道興部町</v>
      </c>
      <c r="E37" s="161">
        <v>1</v>
      </c>
      <c r="F37" s="163" t="s">
        <v>624</v>
      </c>
      <c r="L37" s="164" t="s">
        <v>625</v>
      </c>
      <c r="M37" s="155">
        <v>34</v>
      </c>
    </row>
    <row r="38" spans="1:13" ht="15" customHeight="1">
      <c r="A38" s="155">
        <v>1</v>
      </c>
      <c r="B38" s="161" t="s">
        <v>523</v>
      </c>
      <c r="C38" s="162" t="s">
        <v>626</v>
      </c>
      <c r="D38" s="162" t="str">
        <f t="shared" si="0"/>
        <v>北海道長万部町</v>
      </c>
      <c r="E38" s="161">
        <v>2</v>
      </c>
      <c r="F38" s="163" t="s">
        <v>627</v>
      </c>
      <c r="L38" s="164" t="s">
        <v>628</v>
      </c>
      <c r="M38" s="155">
        <v>35</v>
      </c>
    </row>
    <row r="39" spans="1:13" ht="15" customHeight="1">
      <c r="A39" s="155">
        <v>1</v>
      </c>
      <c r="B39" s="161" t="s">
        <v>523</v>
      </c>
      <c r="C39" s="162" t="s">
        <v>629</v>
      </c>
      <c r="D39" s="162" t="str">
        <f t="shared" si="0"/>
        <v>北海道小樽市</v>
      </c>
      <c r="E39" s="161">
        <v>2</v>
      </c>
      <c r="F39" s="163" t="s">
        <v>630</v>
      </c>
      <c r="L39" s="164" t="s">
        <v>631</v>
      </c>
      <c r="M39" s="155">
        <v>36</v>
      </c>
    </row>
    <row r="40" spans="1:13" ht="15" customHeight="1">
      <c r="A40" s="155">
        <v>1</v>
      </c>
      <c r="B40" s="161" t="s">
        <v>523</v>
      </c>
      <c r="C40" s="162" t="s">
        <v>632</v>
      </c>
      <c r="D40" s="162" t="str">
        <f t="shared" si="0"/>
        <v>北海道音威子府村</v>
      </c>
      <c r="E40" s="161">
        <v>1</v>
      </c>
      <c r="F40" s="163" t="s">
        <v>633</v>
      </c>
      <c r="L40" s="164" t="s">
        <v>634</v>
      </c>
      <c r="M40" s="155">
        <v>37</v>
      </c>
    </row>
    <row r="41" spans="1:13" ht="15" customHeight="1">
      <c r="A41" s="155">
        <v>1</v>
      </c>
      <c r="B41" s="161" t="s">
        <v>523</v>
      </c>
      <c r="C41" s="162" t="s">
        <v>635</v>
      </c>
      <c r="D41" s="162" t="str">
        <f t="shared" si="0"/>
        <v>北海道音更町</v>
      </c>
      <c r="E41" s="161">
        <v>2</v>
      </c>
      <c r="F41" s="163" t="s">
        <v>636</v>
      </c>
      <c r="L41" s="164" t="s">
        <v>637</v>
      </c>
      <c r="M41" s="155">
        <v>38</v>
      </c>
    </row>
    <row r="42" spans="1:13" ht="15" customHeight="1">
      <c r="A42" s="155">
        <v>1</v>
      </c>
      <c r="B42" s="161" t="s">
        <v>523</v>
      </c>
      <c r="C42" s="162" t="s">
        <v>638</v>
      </c>
      <c r="D42" s="162" t="str">
        <f t="shared" si="0"/>
        <v>北海道乙部町</v>
      </c>
      <c r="E42" s="161">
        <v>3</v>
      </c>
      <c r="F42" s="163" t="s">
        <v>639</v>
      </c>
      <c r="L42" s="164" t="s">
        <v>640</v>
      </c>
      <c r="M42" s="155">
        <v>39</v>
      </c>
    </row>
    <row r="43" spans="1:13" ht="15" customHeight="1">
      <c r="A43" s="155">
        <v>1</v>
      </c>
      <c r="B43" s="161" t="s">
        <v>523</v>
      </c>
      <c r="C43" s="162" t="s">
        <v>641</v>
      </c>
      <c r="D43" s="162" t="str">
        <f t="shared" si="0"/>
        <v>北海道帯広市</v>
      </c>
      <c r="E43" s="161">
        <v>2</v>
      </c>
      <c r="F43" s="163" t="s">
        <v>642</v>
      </c>
      <c r="L43" s="164" t="s">
        <v>643</v>
      </c>
      <c r="M43" s="155">
        <v>40</v>
      </c>
    </row>
    <row r="44" spans="1:13" ht="15" customHeight="1">
      <c r="A44" s="155">
        <v>1</v>
      </c>
      <c r="B44" s="161" t="s">
        <v>523</v>
      </c>
      <c r="C44" s="162" t="s">
        <v>644</v>
      </c>
      <c r="D44" s="162" t="str">
        <f t="shared" si="0"/>
        <v>北海道小平町</v>
      </c>
      <c r="E44" s="161">
        <v>2</v>
      </c>
      <c r="F44" s="163" t="s">
        <v>645</v>
      </c>
      <c r="L44" s="164" t="s">
        <v>646</v>
      </c>
      <c r="M44" s="155">
        <v>41</v>
      </c>
    </row>
    <row r="45" spans="1:13" ht="15" customHeight="1">
      <c r="A45" s="155">
        <v>1</v>
      </c>
      <c r="B45" s="161" t="s">
        <v>523</v>
      </c>
      <c r="C45" s="162" t="s">
        <v>647</v>
      </c>
      <c r="D45" s="162" t="str">
        <f t="shared" si="0"/>
        <v>北海道上川町</v>
      </c>
      <c r="E45" s="161">
        <v>1</v>
      </c>
      <c r="F45" s="163" t="s">
        <v>648</v>
      </c>
      <c r="L45" s="164" t="s">
        <v>649</v>
      </c>
      <c r="M45" s="155">
        <v>42</v>
      </c>
    </row>
    <row r="46" spans="1:13" ht="15" customHeight="1">
      <c r="A46" s="155">
        <v>1</v>
      </c>
      <c r="B46" s="161" t="s">
        <v>523</v>
      </c>
      <c r="C46" s="162" t="s">
        <v>650</v>
      </c>
      <c r="D46" s="162" t="str">
        <f t="shared" si="0"/>
        <v>北海道上士幌町</v>
      </c>
      <c r="E46" s="161">
        <v>1</v>
      </c>
      <c r="F46" s="163" t="s">
        <v>651</v>
      </c>
      <c r="L46" s="164" t="s">
        <v>652</v>
      </c>
      <c r="M46" s="155">
        <v>43</v>
      </c>
    </row>
    <row r="47" spans="1:13" ht="15" customHeight="1">
      <c r="A47" s="155">
        <v>1</v>
      </c>
      <c r="B47" s="161" t="s">
        <v>523</v>
      </c>
      <c r="C47" s="162" t="s">
        <v>653</v>
      </c>
      <c r="D47" s="162" t="str">
        <f t="shared" si="0"/>
        <v>北海道上砂川町</v>
      </c>
      <c r="E47" s="161">
        <v>2</v>
      </c>
      <c r="F47" s="163" t="s">
        <v>654</v>
      </c>
      <c r="L47" s="164" t="s">
        <v>655</v>
      </c>
      <c r="M47" s="155">
        <v>44</v>
      </c>
    </row>
    <row r="48" spans="1:13" ht="15" customHeight="1">
      <c r="A48" s="155">
        <v>1</v>
      </c>
      <c r="B48" s="161" t="s">
        <v>523</v>
      </c>
      <c r="C48" s="162" t="s">
        <v>656</v>
      </c>
      <c r="D48" s="162" t="str">
        <f t="shared" si="0"/>
        <v>北海道上ノ国町</v>
      </c>
      <c r="E48" s="161">
        <v>3</v>
      </c>
      <c r="F48" s="163" t="s">
        <v>657</v>
      </c>
      <c r="L48" s="164" t="s">
        <v>658</v>
      </c>
      <c r="M48" s="155">
        <v>45</v>
      </c>
    </row>
    <row r="49" spans="1:13" ht="15" customHeight="1">
      <c r="A49" s="155">
        <v>1</v>
      </c>
      <c r="B49" s="161" t="s">
        <v>523</v>
      </c>
      <c r="C49" s="162" t="s">
        <v>659</v>
      </c>
      <c r="D49" s="162" t="str">
        <f t="shared" si="0"/>
        <v>北海道上富良野町</v>
      </c>
      <c r="E49" s="161">
        <v>2</v>
      </c>
      <c r="F49" s="163" t="s">
        <v>660</v>
      </c>
      <c r="L49" s="164" t="s">
        <v>661</v>
      </c>
      <c r="M49" s="155">
        <v>46</v>
      </c>
    </row>
    <row r="50" spans="1:13" ht="15" customHeight="1">
      <c r="A50" s="155">
        <v>1</v>
      </c>
      <c r="B50" s="161" t="s">
        <v>523</v>
      </c>
      <c r="C50" s="162" t="s">
        <v>662</v>
      </c>
      <c r="D50" s="162" t="str">
        <f t="shared" si="0"/>
        <v>北海道神恵内村</v>
      </c>
      <c r="E50" s="161">
        <v>2</v>
      </c>
      <c r="F50" s="163" t="s">
        <v>663</v>
      </c>
      <c r="L50" s="167" t="s">
        <v>664</v>
      </c>
      <c r="M50" s="155">
        <v>47</v>
      </c>
    </row>
    <row r="51" spans="1:13" ht="15" customHeight="1">
      <c r="A51" s="155">
        <v>1</v>
      </c>
      <c r="B51" s="161" t="s">
        <v>523</v>
      </c>
      <c r="C51" s="162" t="s">
        <v>665</v>
      </c>
      <c r="D51" s="162" t="str">
        <f t="shared" si="0"/>
        <v>北海道木古内町</v>
      </c>
      <c r="E51" s="161">
        <v>2</v>
      </c>
      <c r="F51" s="163" t="s">
        <v>666</v>
      </c>
    </row>
    <row r="52" spans="1:13" ht="15" customHeight="1">
      <c r="A52" s="155">
        <v>1</v>
      </c>
      <c r="B52" s="161" t="s">
        <v>523</v>
      </c>
      <c r="C52" s="162" t="s">
        <v>667</v>
      </c>
      <c r="D52" s="162" t="str">
        <f t="shared" si="0"/>
        <v>北海道北広島市</v>
      </c>
      <c r="E52" s="161">
        <v>2</v>
      </c>
      <c r="F52" s="157" t="s">
        <v>668</v>
      </c>
    </row>
    <row r="53" spans="1:13" ht="15" customHeight="1">
      <c r="A53" s="155">
        <v>1</v>
      </c>
      <c r="B53" s="161" t="s">
        <v>523</v>
      </c>
      <c r="C53" s="162" t="s">
        <v>669</v>
      </c>
      <c r="D53" s="162" t="str">
        <f t="shared" si="0"/>
        <v>北海道北見市</v>
      </c>
      <c r="E53" s="161">
        <v>2</v>
      </c>
      <c r="F53" s="157" t="s">
        <v>670</v>
      </c>
    </row>
    <row r="54" spans="1:13" ht="15" customHeight="1">
      <c r="A54" s="155">
        <v>1</v>
      </c>
      <c r="B54" s="161" t="s">
        <v>523</v>
      </c>
      <c r="C54" s="162" t="s">
        <v>671</v>
      </c>
      <c r="D54" s="162" t="str">
        <f t="shared" si="0"/>
        <v>北海道喜茂別町</v>
      </c>
      <c r="E54" s="161">
        <v>1</v>
      </c>
      <c r="F54" s="157" t="s">
        <v>672</v>
      </c>
    </row>
    <row r="55" spans="1:13" ht="15" customHeight="1">
      <c r="A55" s="155">
        <v>1</v>
      </c>
      <c r="B55" s="161" t="s">
        <v>523</v>
      </c>
      <c r="C55" s="162" t="s">
        <v>673</v>
      </c>
      <c r="D55" s="162" t="str">
        <f t="shared" si="0"/>
        <v>北海道京極町</v>
      </c>
      <c r="E55" s="161">
        <v>2</v>
      </c>
      <c r="F55" s="157" t="s">
        <v>674</v>
      </c>
    </row>
    <row r="56" spans="1:13" ht="15" customHeight="1">
      <c r="A56" s="155">
        <v>1</v>
      </c>
      <c r="B56" s="161" t="s">
        <v>523</v>
      </c>
      <c r="C56" s="162" t="s">
        <v>675</v>
      </c>
      <c r="D56" s="162" t="str">
        <f t="shared" si="0"/>
        <v>北海道共和町</v>
      </c>
      <c r="E56" s="161">
        <v>2</v>
      </c>
      <c r="F56" s="157" t="s">
        <v>676</v>
      </c>
    </row>
    <row r="57" spans="1:13" ht="15" customHeight="1">
      <c r="A57" s="155">
        <v>1</v>
      </c>
      <c r="B57" s="161" t="s">
        <v>523</v>
      </c>
      <c r="C57" s="162" t="s">
        <v>677</v>
      </c>
      <c r="D57" s="162" t="str">
        <f t="shared" si="0"/>
        <v>北海道清里町</v>
      </c>
      <c r="E57" s="161">
        <v>2</v>
      </c>
      <c r="F57" s="157" t="s">
        <v>678</v>
      </c>
    </row>
    <row r="58" spans="1:13" ht="15" customHeight="1">
      <c r="A58" s="155">
        <v>1</v>
      </c>
      <c r="B58" s="161" t="s">
        <v>523</v>
      </c>
      <c r="C58" s="162" t="s">
        <v>679</v>
      </c>
      <c r="D58" s="162" t="str">
        <f t="shared" si="0"/>
        <v>北海道釧路市</v>
      </c>
      <c r="E58" s="161">
        <v>2</v>
      </c>
      <c r="F58" s="157" t="s">
        <v>680</v>
      </c>
    </row>
    <row r="59" spans="1:13" ht="15" customHeight="1">
      <c r="A59" s="155">
        <v>1</v>
      </c>
      <c r="B59" s="161" t="s">
        <v>523</v>
      </c>
      <c r="C59" s="162" t="s">
        <v>681</v>
      </c>
      <c r="D59" s="162" t="str">
        <f t="shared" si="0"/>
        <v>北海道釧路町</v>
      </c>
      <c r="E59" s="161">
        <v>2</v>
      </c>
      <c r="F59" s="157" t="s">
        <v>682</v>
      </c>
    </row>
    <row r="60" spans="1:13" ht="15" customHeight="1">
      <c r="A60" s="155">
        <v>1</v>
      </c>
      <c r="B60" s="161" t="s">
        <v>523</v>
      </c>
      <c r="C60" s="162" t="s">
        <v>683</v>
      </c>
      <c r="D60" s="162" t="str">
        <f t="shared" si="0"/>
        <v>北海道倶知安町</v>
      </c>
      <c r="E60" s="161">
        <v>2</v>
      </c>
      <c r="F60" s="157" t="s">
        <v>684</v>
      </c>
    </row>
    <row r="61" spans="1:13" ht="15" customHeight="1">
      <c r="A61" s="155">
        <v>1</v>
      </c>
      <c r="B61" s="161" t="s">
        <v>523</v>
      </c>
      <c r="C61" s="162" t="s">
        <v>685</v>
      </c>
      <c r="D61" s="162" t="str">
        <f t="shared" si="0"/>
        <v>北海道栗山町</v>
      </c>
      <c r="E61" s="161">
        <v>2</v>
      </c>
      <c r="F61" s="157" t="s">
        <v>686</v>
      </c>
    </row>
    <row r="62" spans="1:13" ht="15" customHeight="1">
      <c r="A62" s="155">
        <v>1</v>
      </c>
      <c r="B62" s="161" t="s">
        <v>523</v>
      </c>
      <c r="C62" s="162" t="s">
        <v>687</v>
      </c>
      <c r="D62" s="162" t="str">
        <f t="shared" si="0"/>
        <v>北海道黒松内町</v>
      </c>
      <c r="E62" s="161">
        <v>2</v>
      </c>
      <c r="F62" s="157" t="s">
        <v>688</v>
      </c>
    </row>
    <row r="63" spans="1:13" ht="15" customHeight="1">
      <c r="A63" s="155">
        <v>1</v>
      </c>
      <c r="B63" s="161" t="s">
        <v>523</v>
      </c>
      <c r="C63" s="162" t="s">
        <v>689</v>
      </c>
      <c r="D63" s="162" t="str">
        <f t="shared" si="0"/>
        <v>北海道訓子府町</v>
      </c>
      <c r="E63" s="161">
        <v>1</v>
      </c>
      <c r="F63" s="157" t="s">
        <v>690</v>
      </c>
    </row>
    <row r="64" spans="1:13" ht="15" customHeight="1">
      <c r="A64" s="155">
        <v>1</v>
      </c>
      <c r="B64" s="161" t="s">
        <v>523</v>
      </c>
      <c r="C64" s="162" t="s">
        <v>691</v>
      </c>
      <c r="D64" s="162" t="str">
        <f t="shared" si="0"/>
        <v>北海道剣淵町</v>
      </c>
      <c r="E64" s="161">
        <v>2</v>
      </c>
      <c r="F64" s="157" t="s">
        <v>692</v>
      </c>
    </row>
    <row r="65" spans="1:6" ht="15" customHeight="1">
      <c r="A65" s="155">
        <v>1</v>
      </c>
      <c r="B65" s="161" t="s">
        <v>523</v>
      </c>
      <c r="C65" s="162" t="s">
        <v>693</v>
      </c>
      <c r="D65" s="162" t="str">
        <f t="shared" si="0"/>
        <v>北海道小清水町</v>
      </c>
      <c r="E65" s="161">
        <v>2</v>
      </c>
      <c r="F65" s="157" t="s">
        <v>694</v>
      </c>
    </row>
    <row r="66" spans="1:6" ht="15" customHeight="1">
      <c r="A66" s="155">
        <v>1</v>
      </c>
      <c r="B66" s="161" t="s">
        <v>523</v>
      </c>
      <c r="C66" s="162" t="s">
        <v>695</v>
      </c>
      <c r="D66" s="162" t="str">
        <f t="shared" si="0"/>
        <v>北海道札幌市</v>
      </c>
      <c r="E66" s="161">
        <v>2</v>
      </c>
      <c r="F66" s="157" t="s">
        <v>696</v>
      </c>
    </row>
    <row r="67" spans="1:6" ht="15" customHeight="1">
      <c r="A67" s="155">
        <v>1</v>
      </c>
      <c r="B67" s="161" t="s">
        <v>523</v>
      </c>
      <c r="C67" s="162" t="s">
        <v>697</v>
      </c>
      <c r="D67" s="162" t="str">
        <f t="shared" si="0"/>
        <v>北海道様似町</v>
      </c>
      <c r="E67" s="161">
        <v>2</v>
      </c>
      <c r="F67" s="157" t="s">
        <v>698</v>
      </c>
    </row>
    <row r="68" spans="1:6" ht="15" customHeight="1">
      <c r="A68" s="155">
        <v>1</v>
      </c>
      <c r="B68" s="161" t="s">
        <v>523</v>
      </c>
      <c r="C68" s="162" t="s">
        <v>699</v>
      </c>
      <c r="D68" s="162" t="str">
        <f t="shared" ref="D68:D131" si="1">B68&amp;C68</f>
        <v>北海道更別村</v>
      </c>
      <c r="E68" s="161">
        <v>1</v>
      </c>
      <c r="F68" s="157" t="s">
        <v>700</v>
      </c>
    </row>
    <row r="69" spans="1:6" ht="15" customHeight="1">
      <c r="A69" s="155">
        <v>1</v>
      </c>
      <c r="B69" s="161" t="s">
        <v>523</v>
      </c>
      <c r="C69" s="162" t="s">
        <v>701</v>
      </c>
      <c r="D69" s="162" t="str">
        <f t="shared" si="1"/>
        <v>北海道猿払村</v>
      </c>
      <c r="E69" s="161">
        <v>1</v>
      </c>
      <c r="F69" s="157" t="s">
        <v>702</v>
      </c>
    </row>
    <row r="70" spans="1:6" ht="15" customHeight="1">
      <c r="A70" s="155">
        <v>1</v>
      </c>
      <c r="B70" s="161" t="s">
        <v>523</v>
      </c>
      <c r="C70" s="162" t="s">
        <v>703</v>
      </c>
      <c r="D70" s="162" t="str">
        <f t="shared" si="1"/>
        <v>北海道佐呂間町</v>
      </c>
      <c r="E70" s="161">
        <v>1</v>
      </c>
      <c r="F70" s="157" t="s">
        <v>704</v>
      </c>
    </row>
    <row r="71" spans="1:6" ht="15" customHeight="1">
      <c r="A71" s="155">
        <v>1</v>
      </c>
      <c r="B71" s="161" t="s">
        <v>523</v>
      </c>
      <c r="C71" s="162" t="s">
        <v>705</v>
      </c>
      <c r="D71" s="162" t="str">
        <f t="shared" si="1"/>
        <v>北海道鹿追町</v>
      </c>
      <c r="E71" s="161">
        <v>2</v>
      </c>
      <c r="F71" s="157" t="s">
        <v>706</v>
      </c>
    </row>
    <row r="72" spans="1:6" ht="15" customHeight="1">
      <c r="A72" s="155">
        <v>1</v>
      </c>
      <c r="B72" s="161" t="s">
        <v>523</v>
      </c>
      <c r="C72" s="162" t="s">
        <v>707</v>
      </c>
      <c r="D72" s="162" t="str">
        <f t="shared" si="1"/>
        <v>北海道鹿部町</v>
      </c>
      <c r="E72" s="161">
        <v>2</v>
      </c>
      <c r="F72" s="157" t="s">
        <v>708</v>
      </c>
    </row>
    <row r="73" spans="1:6" ht="15" customHeight="1">
      <c r="A73" s="155">
        <v>1</v>
      </c>
      <c r="B73" s="161" t="s">
        <v>523</v>
      </c>
      <c r="C73" s="162" t="s">
        <v>709</v>
      </c>
      <c r="D73" s="162" t="str">
        <f t="shared" si="1"/>
        <v>北海道標茶町</v>
      </c>
      <c r="E73" s="161">
        <v>1</v>
      </c>
      <c r="F73" s="157" t="s">
        <v>710</v>
      </c>
    </row>
    <row r="74" spans="1:6" ht="15" customHeight="1">
      <c r="A74" s="155">
        <v>1</v>
      </c>
      <c r="B74" s="161" t="s">
        <v>523</v>
      </c>
      <c r="C74" s="162" t="s">
        <v>711</v>
      </c>
      <c r="D74" s="162" t="str">
        <f t="shared" si="1"/>
        <v>北海道士別市</v>
      </c>
      <c r="E74" s="161">
        <v>1</v>
      </c>
      <c r="F74" s="157" t="s">
        <v>712</v>
      </c>
    </row>
    <row r="75" spans="1:6" ht="15" customHeight="1">
      <c r="A75" s="155">
        <v>1</v>
      </c>
      <c r="B75" s="161" t="s">
        <v>523</v>
      </c>
      <c r="C75" s="162" t="s">
        <v>713</v>
      </c>
      <c r="D75" s="162" t="str">
        <f t="shared" si="1"/>
        <v>北海道標津町</v>
      </c>
      <c r="E75" s="161">
        <v>2</v>
      </c>
      <c r="F75" s="157" t="s">
        <v>714</v>
      </c>
    </row>
    <row r="76" spans="1:6" ht="15" customHeight="1">
      <c r="A76" s="155">
        <v>1</v>
      </c>
      <c r="B76" s="161" t="s">
        <v>523</v>
      </c>
      <c r="C76" s="162" t="s">
        <v>715</v>
      </c>
      <c r="D76" s="162" t="str">
        <f t="shared" si="1"/>
        <v>北海道士幌町</v>
      </c>
      <c r="E76" s="161">
        <v>2</v>
      </c>
      <c r="F76" s="157" t="s">
        <v>716</v>
      </c>
    </row>
    <row r="77" spans="1:6" ht="15" customHeight="1">
      <c r="A77" s="155">
        <v>1</v>
      </c>
      <c r="B77" s="161" t="s">
        <v>523</v>
      </c>
      <c r="C77" s="162" t="s">
        <v>717</v>
      </c>
      <c r="D77" s="162" t="str">
        <f t="shared" si="1"/>
        <v>北海道島牧村</v>
      </c>
      <c r="E77" s="161">
        <v>2</v>
      </c>
      <c r="F77" s="157" t="s">
        <v>718</v>
      </c>
    </row>
    <row r="78" spans="1:6" ht="15" customHeight="1">
      <c r="A78" s="155">
        <v>1</v>
      </c>
      <c r="B78" s="161" t="s">
        <v>523</v>
      </c>
      <c r="C78" s="162" t="s">
        <v>719</v>
      </c>
      <c r="D78" s="162" t="str">
        <f t="shared" si="1"/>
        <v>北海道清水町</v>
      </c>
      <c r="E78" s="161">
        <v>2</v>
      </c>
      <c r="F78" s="157" t="s">
        <v>720</v>
      </c>
    </row>
    <row r="79" spans="1:6" ht="15" customHeight="1">
      <c r="A79" s="155">
        <v>1</v>
      </c>
      <c r="B79" s="161" t="s">
        <v>523</v>
      </c>
      <c r="C79" s="162" t="s">
        <v>721</v>
      </c>
      <c r="D79" s="162" t="str">
        <f t="shared" si="1"/>
        <v>北海道占冠村</v>
      </c>
      <c r="E79" s="161">
        <v>1</v>
      </c>
      <c r="F79" s="157" t="s">
        <v>722</v>
      </c>
    </row>
    <row r="80" spans="1:6" ht="15" customHeight="1">
      <c r="A80" s="155">
        <v>1</v>
      </c>
      <c r="B80" s="161" t="s">
        <v>523</v>
      </c>
      <c r="C80" s="162" t="s">
        <v>723</v>
      </c>
      <c r="D80" s="162" t="str">
        <f t="shared" si="1"/>
        <v>北海道下川町</v>
      </c>
      <c r="E80" s="161">
        <v>1</v>
      </c>
      <c r="F80" s="157" t="s">
        <v>724</v>
      </c>
    </row>
    <row r="81" spans="1:6" ht="15" customHeight="1">
      <c r="A81" s="155">
        <v>1</v>
      </c>
      <c r="B81" s="161" t="s">
        <v>523</v>
      </c>
      <c r="C81" s="162" t="s">
        <v>725</v>
      </c>
      <c r="D81" s="162" t="str">
        <f t="shared" si="1"/>
        <v>北海道積丹町</v>
      </c>
      <c r="E81" s="161">
        <v>2</v>
      </c>
      <c r="F81" s="157" t="s">
        <v>726</v>
      </c>
    </row>
    <row r="82" spans="1:6" ht="15" customHeight="1">
      <c r="A82" s="155">
        <v>1</v>
      </c>
      <c r="B82" s="161" t="s">
        <v>523</v>
      </c>
      <c r="C82" s="162" t="s">
        <v>727</v>
      </c>
      <c r="D82" s="162" t="str">
        <f t="shared" si="1"/>
        <v>北海道斜里町</v>
      </c>
      <c r="E82" s="161">
        <v>2</v>
      </c>
      <c r="F82" s="157" t="s">
        <v>728</v>
      </c>
    </row>
    <row r="83" spans="1:6" ht="15" customHeight="1">
      <c r="A83" s="155">
        <v>1</v>
      </c>
      <c r="B83" s="161" t="s">
        <v>523</v>
      </c>
      <c r="C83" s="162" t="s">
        <v>729</v>
      </c>
      <c r="D83" s="162" t="str">
        <f t="shared" si="1"/>
        <v>北海道初山別村</v>
      </c>
      <c r="E83" s="161">
        <v>2</v>
      </c>
      <c r="F83" s="157" t="s">
        <v>730</v>
      </c>
    </row>
    <row r="84" spans="1:6" ht="15" customHeight="1">
      <c r="A84" s="155">
        <v>1</v>
      </c>
      <c r="B84" s="161" t="s">
        <v>523</v>
      </c>
      <c r="C84" s="162" t="s">
        <v>731</v>
      </c>
      <c r="D84" s="162" t="str">
        <f t="shared" si="1"/>
        <v>北海道白老町</v>
      </c>
      <c r="E84" s="161">
        <v>2</v>
      </c>
      <c r="F84" s="157" t="s">
        <v>732</v>
      </c>
    </row>
    <row r="85" spans="1:6" ht="15" customHeight="1">
      <c r="A85" s="155">
        <v>1</v>
      </c>
      <c r="B85" s="161" t="s">
        <v>523</v>
      </c>
      <c r="C85" s="162" t="s">
        <v>733</v>
      </c>
      <c r="D85" s="162" t="str">
        <f t="shared" si="1"/>
        <v>北海道白糠町</v>
      </c>
      <c r="E85" s="161">
        <v>2</v>
      </c>
      <c r="F85" s="157" t="s">
        <v>734</v>
      </c>
    </row>
    <row r="86" spans="1:6" ht="15" customHeight="1">
      <c r="A86" s="155">
        <v>1</v>
      </c>
      <c r="B86" s="161" t="s">
        <v>523</v>
      </c>
      <c r="C86" s="162" t="s">
        <v>735</v>
      </c>
      <c r="D86" s="162" t="str">
        <f t="shared" si="1"/>
        <v>北海道知内町</v>
      </c>
      <c r="E86" s="161">
        <v>3</v>
      </c>
      <c r="F86" s="157" t="s">
        <v>736</v>
      </c>
    </row>
    <row r="87" spans="1:6" ht="15" customHeight="1">
      <c r="A87" s="155">
        <v>1</v>
      </c>
      <c r="B87" s="161" t="s">
        <v>523</v>
      </c>
      <c r="C87" s="162" t="s">
        <v>737</v>
      </c>
      <c r="D87" s="162" t="str">
        <f t="shared" si="1"/>
        <v>北海道新篠津村</v>
      </c>
      <c r="E87" s="161">
        <v>2</v>
      </c>
      <c r="F87" s="157" t="s">
        <v>738</v>
      </c>
    </row>
    <row r="88" spans="1:6" ht="15" customHeight="1">
      <c r="A88" s="155">
        <v>1</v>
      </c>
      <c r="B88" s="161" t="s">
        <v>523</v>
      </c>
      <c r="C88" s="162" t="s">
        <v>739</v>
      </c>
      <c r="D88" s="162" t="str">
        <f t="shared" si="1"/>
        <v>北海道新得町</v>
      </c>
      <c r="E88" s="161">
        <v>2</v>
      </c>
      <c r="F88" s="157" t="s">
        <v>740</v>
      </c>
    </row>
    <row r="89" spans="1:6" ht="15" customHeight="1">
      <c r="A89" s="155">
        <v>1</v>
      </c>
      <c r="B89" s="161" t="s">
        <v>523</v>
      </c>
      <c r="C89" s="162" t="s">
        <v>741</v>
      </c>
      <c r="D89" s="162" t="str">
        <f t="shared" si="1"/>
        <v>北海道新十津川町</v>
      </c>
      <c r="E89" s="161">
        <v>2</v>
      </c>
      <c r="F89" s="157" t="s">
        <v>742</v>
      </c>
    </row>
    <row r="90" spans="1:6" ht="15" customHeight="1">
      <c r="A90" s="155">
        <v>1</v>
      </c>
      <c r="B90" s="161" t="s">
        <v>523</v>
      </c>
      <c r="C90" s="162" t="s">
        <v>743</v>
      </c>
      <c r="D90" s="162" t="str">
        <f t="shared" si="1"/>
        <v>北海道新ひだか町</v>
      </c>
      <c r="E90" s="161">
        <v>2</v>
      </c>
      <c r="F90" s="157" t="s">
        <v>744</v>
      </c>
    </row>
    <row r="91" spans="1:6" ht="15" customHeight="1">
      <c r="A91" s="155">
        <v>1</v>
      </c>
      <c r="B91" s="161" t="s">
        <v>523</v>
      </c>
      <c r="C91" s="162" t="s">
        <v>745</v>
      </c>
      <c r="D91" s="162" t="str">
        <f t="shared" si="1"/>
        <v>北海道寿都町</v>
      </c>
      <c r="E91" s="161">
        <v>2</v>
      </c>
      <c r="F91" s="157" t="s">
        <v>746</v>
      </c>
    </row>
    <row r="92" spans="1:6" ht="15" customHeight="1">
      <c r="A92" s="155">
        <v>1</v>
      </c>
      <c r="B92" s="161" t="s">
        <v>523</v>
      </c>
      <c r="C92" s="162" t="s">
        <v>747</v>
      </c>
      <c r="D92" s="162" t="str">
        <f t="shared" si="1"/>
        <v>北海道砂川市</v>
      </c>
      <c r="E92" s="161">
        <v>2</v>
      </c>
      <c r="F92" s="157" t="s">
        <v>748</v>
      </c>
    </row>
    <row r="93" spans="1:6" ht="15" customHeight="1">
      <c r="A93" s="155">
        <v>1</v>
      </c>
      <c r="B93" s="161" t="s">
        <v>523</v>
      </c>
      <c r="C93" s="162" t="s">
        <v>749</v>
      </c>
      <c r="D93" s="162" t="str">
        <f t="shared" si="1"/>
        <v>北海道せたな町</v>
      </c>
      <c r="E93" s="161">
        <v>2</v>
      </c>
      <c r="F93" s="157" t="s">
        <v>750</v>
      </c>
    </row>
    <row r="94" spans="1:6" ht="15" customHeight="1">
      <c r="A94" s="155">
        <v>1</v>
      </c>
      <c r="B94" s="161" t="s">
        <v>523</v>
      </c>
      <c r="C94" s="162" t="s">
        <v>751</v>
      </c>
      <c r="D94" s="162" t="str">
        <f t="shared" si="1"/>
        <v>北海道壮瞥町</v>
      </c>
      <c r="E94" s="161">
        <v>2</v>
      </c>
      <c r="F94" s="157" t="s">
        <v>752</v>
      </c>
    </row>
    <row r="95" spans="1:6" ht="15" customHeight="1">
      <c r="A95" s="155">
        <v>1</v>
      </c>
      <c r="B95" s="161" t="s">
        <v>523</v>
      </c>
      <c r="C95" s="162" t="s">
        <v>753</v>
      </c>
      <c r="D95" s="162" t="str">
        <f t="shared" si="1"/>
        <v>北海道大樹町</v>
      </c>
      <c r="E95" s="161">
        <v>1</v>
      </c>
      <c r="F95" s="157" t="s">
        <v>754</v>
      </c>
    </row>
    <row r="96" spans="1:6" ht="15" customHeight="1">
      <c r="A96" s="155">
        <v>1</v>
      </c>
      <c r="B96" s="161" t="s">
        <v>523</v>
      </c>
      <c r="C96" s="162" t="s">
        <v>755</v>
      </c>
      <c r="D96" s="162" t="str">
        <f t="shared" si="1"/>
        <v>北海道当麻町</v>
      </c>
      <c r="E96" s="161">
        <v>2</v>
      </c>
      <c r="F96" s="157" t="s">
        <v>756</v>
      </c>
    </row>
    <row r="97" spans="1:6" ht="15" customHeight="1">
      <c r="A97" s="155">
        <v>1</v>
      </c>
      <c r="B97" s="161" t="s">
        <v>523</v>
      </c>
      <c r="C97" s="162" t="s">
        <v>757</v>
      </c>
      <c r="D97" s="162" t="str">
        <f t="shared" si="1"/>
        <v>北海道鷹栖町</v>
      </c>
      <c r="E97" s="161">
        <v>2</v>
      </c>
      <c r="F97" s="157" t="s">
        <v>758</v>
      </c>
    </row>
    <row r="98" spans="1:6" ht="15" customHeight="1">
      <c r="A98" s="155">
        <v>1</v>
      </c>
      <c r="B98" s="161" t="s">
        <v>523</v>
      </c>
      <c r="C98" s="162" t="s">
        <v>759</v>
      </c>
      <c r="D98" s="162" t="str">
        <f t="shared" si="1"/>
        <v>北海道滝川市</v>
      </c>
      <c r="E98" s="161">
        <v>2</v>
      </c>
      <c r="F98" s="157" t="s">
        <v>760</v>
      </c>
    </row>
    <row r="99" spans="1:6" ht="15" customHeight="1">
      <c r="A99" s="155">
        <v>1</v>
      </c>
      <c r="B99" s="161" t="s">
        <v>523</v>
      </c>
      <c r="C99" s="162" t="s">
        <v>761</v>
      </c>
      <c r="D99" s="162" t="str">
        <f t="shared" si="1"/>
        <v>北海道滝上町</v>
      </c>
      <c r="E99" s="161">
        <v>1</v>
      </c>
      <c r="F99" s="157" t="s">
        <v>762</v>
      </c>
    </row>
    <row r="100" spans="1:6" ht="15" customHeight="1">
      <c r="A100" s="155">
        <v>1</v>
      </c>
      <c r="B100" s="161" t="s">
        <v>523</v>
      </c>
      <c r="C100" s="162" t="s">
        <v>763</v>
      </c>
      <c r="D100" s="162" t="str">
        <f t="shared" si="1"/>
        <v>北海道伊達市(旧大滝村に限る。)</v>
      </c>
      <c r="E100" s="161">
        <v>1</v>
      </c>
      <c r="F100" s="157" t="s">
        <v>764</v>
      </c>
    </row>
    <row r="101" spans="1:6" ht="15" customHeight="1">
      <c r="A101" s="155">
        <v>1</v>
      </c>
      <c r="B101" s="161" t="s">
        <v>523</v>
      </c>
      <c r="C101" s="162" t="s">
        <v>765</v>
      </c>
      <c r="D101" s="162" t="str">
        <f t="shared" si="1"/>
        <v>北海道伊達市(旧伊達市に限る。)</v>
      </c>
      <c r="E101" s="161">
        <v>2</v>
      </c>
      <c r="F101" s="157" t="s">
        <v>766</v>
      </c>
    </row>
    <row r="102" spans="1:6" ht="15" customHeight="1">
      <c r="A102" s="155">
        <v>1</v>
      </c>
      <c r="B102" s="161" t="s">
        <v>523</v>
      </c>
      <c r="C102" s="162" t="s">
        <v>767</v>
      </c>
      <c r="D102" s="162" t="str">
        <f t="shared" si="1"/>
        <v>北海道秩父別町</v>
      </c>
      <c r="E102" s="161">
        <v>2</v>
      </c>
      <c r="F102" s="157" t="s">
        <v>768</v>
      </c>
    </row>
    <row r="103" spans="1:6" ht="15" customHeight="1">
      <c r="A103" s="155">
        <v>1</v>
      </c>
      <c r="B103" s="161" t="s">
        <v>523</v>
      </c>
      <c r="C103" s="162" t="s">
        <v>769</v>
      </c>
      <c r="D103" s="162" t="str">
        <f t="shared" si="1"/>
        <v>北海道千歳市</v>
      </c>
      <c r="E103" s="161">
        <v>2</v>
      </c>
      <c r="F103" s="157" t="s">
        <v>770</v>
      </c>
    </row>
    <row r="104" spans="1:6" ht="15" customHeight="1">
      <c r="A104" s="155">
        <v>1</v>
      </c>
      <c r="B104" s="161" t="s">
        <v>523</v>
      </c>
      <c r="C104" s="162" t="s">
        <v>771</v>
      </c>
      <c r="D104" s="162" t="str">
        <f t="shared" si="1"/>
        <v>北海道月形町</v>
      </c>
      <c r="E104" s="161">
        <v>2</v>
      </c>
      <c r="F104" s="157" t="s">
        <v>772</v>
      </c>
    </row>
    <row r="105" spans="1:6" ht="15" customHeight="1">
      <c r="A105" s="155">
        <v>1</v>
      </c>
      <c r="B105" s="161" t="s">
        <v>523</v>
      </c>
      <c r="C105" s="162" t="s">
        <v>773</v>
      </c>
      <c r="D105" s="162" t="str">
        <f t="shared" si="1"/>
        <v>北海道津別町</v>
      </c>
      <c r="E105" s="161">
        <v>1</v>
      </c>
      <c r="F105" s="157" t="s">
        <v>774</v>
      </c>
    </row>
    <row r="106" spans="1:6" ht="15" customHeight="1">
      <c r="A106" s="155">
        <v>1</v>
      </c>
      <c r="B106" s="161" t="s">
        <v>523</v>
      </c>
      <c r="C106" s="162" t="s">
        <v>775</v>
      </c>
      <c r="D106" s="162" t="str">
        <f t="shared" si="1"/>
        <v>北海道鶴居村</v>
      </c>
      <c r="E106" s="161">
        <v>1</v>
      </c>
      <c r="F106" s="157" t="s">
        <v>776</v>
      </c>
    </row>
    <row r="107" spans="1:6" ht="15" customHeight="1">
      <c r="A107" s="155">
        <v>1</v>
      </c>
      <c r="B107" s="161" t="s">
        <v>523</v>
      </c>
      <c r="C107" s="162" t="s">
        <v>777</v>
      </c>
      <c r="D107" s="162" t="str">
        <f t="shared" si="1"/>
        <v>北海道天塩町</v>
      </c>
      <c r="E107" s="161">
        <v>2</v>
      </c>
      <c r="F107" s="157" t="s">
        <v>778</v>
      </c>
    </row>
    <row r="108" spans="1:6" ht="15" customHeight="1">
      <c r="A108" s="155">
        <v>1</v>
      </c>
      <c r="B108" s="161" t="s">
        <v>523</v>
      </c>
      <c r="C108" s="162" t="s">
        <v>779</v>
      </c>
      <c r="D108" s="162" t="str">
        <f t="shared" si="1"/>
        <v>北海道弟子屈町</v>
      </c>
      <c r="E108" s="161">
        <v>1</v>
      </c>
      <c r="F108" s="157" t="s">
        <v>780</v>
      </c>
    </row>
    <row r="109" spans="1:6" ht="15" customHeight="1">
      <c r="A109" s="155">
        <v>1</v>
      </c>
      <c r="B109" s="161" t="s">
        <v>523</v>
      </c>
      <c r="C109" s="162" t="s">
        <v>781</v>
      </c>
      <c r="D109" s="162" t="str">
        <f t="shared" si="1"/>
        <v>北海道当別町</v>
      </c>
      <c r="E109" s="161">
        <v>2</v>
      </c>
      <c r="F109" s="157" t="s">
        <v>782</v>
      </c>
    </row>
    <row r="110" spans="1:6" ht="15" customHeight="1">
      <c r="A110" s="155">
        <v>1</v>
      </c>
      <c r="B110" s="161" t="s">
        <v>523</v>
      </c>
      <c r="C110" s="162" t="s">
        <v>783</v>
      </c>
      <c r="D110" s="162" t="str">
        <f t="shared" si="1"/>
        <v>北海道洞爺湖町</v>
      </c>
      <c r="E110" s="161">
        <v>2</v>
      </c>
      <c r="F110" s="157" t="s">
        <v>784</v>
      </c>
    </row>
    <row r="111" spans="1:6" ht="15" customHeight="1">
      <c r="A111" s="155">
        <v>1</v>
      </c>
      <c r="B111" s="161" t="s">
        <v>523</v>
      </c>
      <c r="C111" s="162" t="s">
        <v>785</v>
      </c>
      <c r="D111" s="162" t="str">
        <f t="shared" si="1"/>
        <v>北海道苫小牧市</v>
      </c>
      <c r="E111" s="161">
        <v>2</v>
      </c>
      <c r="F111" s="157" t="s">
        <v>786</v>
      </c>
    </row>
    <row r="112" spans="1:6" ht="15" customHeight="1">
      <c r="A112" s="155">
        <v>1</v>
      </c>
      <c r="B112" s="161" t="s">
        <v>523</v>
      </c>
      <c r="C112" s="162" t="s">
        <v>787</v>
      </c>
      <c r="D112" s="162" t="str">
        <f t="shared" si="1"/>
        <v>北海道苫前町</v>
      </c>
      <c r="E112" s="161">
        <v>2</v>
      </c>
      <c r="F112" s="157" t="s">
        <v>788</v>
      </c>
    </row>
    <row r="113" spans="1:6" ht="15" customHeight="1">
      <c r="A113" s="155">
        <v>1</v>
      </c>
      <c r="B113" s="161" t="s">
        <v>523</v>
      </c>
      <c r="C113" s="162" t="s">
        <v>789</v>
      </c>
      <c r="D113" s="162" t="str">
        <f t="shared" si="1"/>
        <v>北海道泊村</v>
      </c>
      <c r="E113" s="161">
        <v>2</v>
      </c>
      <c r="F113" s="157" t="s">
        <v>790</v>
      </c>
    </row>
    <row r="114" spans="1:6" ht="15" customHeight="1">
      <c r="A114" s="155">
        <v>1</v>
      </c>
      <c r="B114" s="161" t="s">
        <v>523</v>
      </c>
      <c r="C114" s="162" t="s">
        <v>791</v>
      </c>
      <c r="D114" s="162" t="str">
        <f t="shared" si="1"/>
        <v>北海道豊浦町</v>
      </c>
      <c r="E114" s="161">
        <v>2</v>
      </c>
      <c r="F114" s="157" t="s">
        <v>792</v>
      </c>
    </row>
    <row r="115" spans="1:6" ht="15" customHeight="1">
      <c r="A115" s="155">
        <v>1</v>
      </c>
      <c r="B115" s="161" t="s">
        <v>523</v>
      </c>
      <c r="C115" s="162" t="s">
        <v>793</v>
      </c>
      <c r="D115" s="162" t="str">
        <f t="shared" si="1"/>
        <v>北海道豊頃町</v>
      </c>
      <c r="E115" s="161">
        <v>1</v>
      </c>
      <c r="F115" s="157" t="s">
        <v>794</v>
      </c>
    </row>
    <row r="116" spans="1:6" ht="15" customHeight="1">
      <c r="A116" s="155">
        <v>1</v>
      </c>
      <c r="B116" s="161" t="s">
        <v>523</v>
      </c>
      <c r="C116" s="162" t="s">
        <v>795</v>
      </c>
      <c r="D116" s="162" t="str">
        <f t="shared" si="1"/>
        <v>北海道豊富町</v>
      </c>
      <c r="E116" s="161">
        <v>2</v>
      </c>
      <c r="F116" s="157" t="s">
        <v>796</v>
      </c>
    </row>
    <row r="117" spans="1:6" ht="15" customHeight="1">
      <c r="A117" s="155">
        <v>1</v>
      </c>
      <c r="B117" s="161" t="s">
        <v>523</v>
      </c>
      <c r="C117" s="162" t="s">
        <v>797</v>
      </c>
      <c r="D117" s="162" t="str">
        <f t="shared" si="1"/>
        <v>北海道奈井江町</v>
      </c>
      <c r="E117" s="161">
        <v>2</v>
      </c>
      <c r="F117" s="157" t="s">
        <v>798</v>
      </c>
    </row>
    <row r="118" spans="1:6" ht="15" customHeight="1">
      <c r="A118" s="155">
        <v>1</v>
      </c>
      <c r="B118" s="161" t="s">
        <v>523</v>
      </c>
      <c r="C118" s="162" t="s">
        <v>799</v>
      </c>
      <c r="D118" s="162" t="str">
        <f t="shared" si="1"/>
        <v>北海道中川町</v>
      </c>
      <c r="E118" s="161">
        <v>1</v>
      </c>
      <c r="F118" s="157" t="s">
        <v>800</v>
      </c>
    </row>
    <row r="119" spans="1:6" ht="15" customHeight="1">
      <c r="A119" s="155">
        <v>1</v>
      </c>
      <c r="B119" s="161" t="s">
        <v>523</v>
      </c>
      <c r="C119" s="162" t="s">
        <v>801</v>
      </c>
      <c r="D119" s="162" t="str">
        <f t="shared" si="1"/>
        <v>北海道中札内村</v>
      </c>
      <c r="E119" s="161">
        <v>1</v>
      </c>
      <c r="F119" s="157" t="s">
        <v>802</v>
      </c>
    </row>
    <row r="120" spans="1:6" ht="15" customHeight="1">
      <c r="A120" s="155">
        <v>1</v>
      </c>
      <c r="B120" s="161" t="s">
        <v>523</v>
      </c>
      <c r="C120" s="162" t="s">
        <v>803</v>
      </c>
      <c r="D120" s="162" t="str">
        <f t="shared" si="1"/>
        <v>北海道中標津町</v>
      </c>
      <c r="E120" s="161">
        <v>1</v>
      </c>
      <c r="F120" s="157" t="s">
        <v>804</v>
      </c>
    </row>
    <row r="121" spans="1:6" ht="15" customHeight="1">
      <c r="A121" s="155">
        <v>1</v>
      </c>
      <c r="B121" s="161" t="s">
        <v>523</v>
      </c>
      <c r="C121" s="162" t="s">
        <v>805</v>
      </c>
      <c r="D121" s="162" t="str">
        <f t="shared" si="1"/>
        <v>北海道中頓別町</v>
      </c>
      <c r="E121" s="161">
        <v>1</v>
      </c>
      <c r="F121" s="157" t="s">
        <v>806</v>
      </c>
    </row>
    <row r="122" spans="1:6" ht="15" customHeight="1">
      <c r="A122" s="155">
        <v>1</v>
      </c>
      <c r="B122" s="161" t="s">
        <v>523</v>
      </c>
      <c r="C122" s="162" t="s">
        <v>807</v>
      </c>
      <c r="D122" s="162" t="str">
        <f t="shared" si="1"/>
        <v>北海道長沼町</v>
      </c>
      <c r="E122" s="161">
        <v>2</v>
      </c>
      <c r="F122" s="157" t="s">
        <v>808</v>
      </c>
    </row>
    <row r="123" spans="1:6" ht="15" customHeight="1">
      <c r="A123" s="155">
        <v>1</v>
      </c>
      <c r="B123" s="161" t="s">
        <v>523</v>
      </c>
      <c r="C123" s="162" t="s">
        <v>809</v>
      </c>
      <c r="D123" s="162" t="str">
        <f t="shared" si="1"/>
        <v>北海道中富良野町</v>
      </c>
      <c r="E123" s="161">
        <v>2</v>
      </c>
      <c r="F123" s="157" t="s">
        <v>810</v>
      </c>
    </row>
    <row r="124" spans="1:6" ht="15" customHeight="1">
      <c r="A124" s="155">
        <v>1</v>
      </c>
      <c r="B124" s="161" t="s">
        <v>523</v>
      </c>
      <c r="C124" s="162" t="s">
        <v>811</v>
      </c>
      <c r="D124" s="162" t="str">
        <f t="shared" si="1"/>
        <v>北海道七飯町</v>
      </c>
      <c r="E124" s="161">
        <v>2</v>
      </c>
      <c r="F124" s="157" t="s">
        <v>812</v>
      </c>
    </row>
    <row r="125" spans="1:6" ht="15" customHeight="1">
      <c r="A125" s="155">
        <v>1</v>
      </c>
      <c r="B125" s="161" t="s">
        <v>523</v>
      </c>
      <c r="C125" s="162" t="s">
        <v>813</v>
      </c>
      <c r="D125" s="162" t="str">
        <f t="shared" si="1"/>
        <v>北海道名寄市</v>
      </c>
      <c r="E125" s="161">
        <v>1</v>
      </c>
      <c r="F125" s="157" t="s">
        <v>814</v>
      </c>
    </row>
    <row r="126" spans="1:6" ht="15" customHeight="1">
      <c r="A126" s="155">
        <v>1</v>
      </c>
      <c r="B126" s="161" t="s">
        <v>523</v>
      </c>
      <c r="C126" s="162" t="s">
        <v>815</v>
      </c>
      <c r="D126" s="162" t="str">
        <f t="shared" si="1"/>
        <v>北海道南幌町</v>
      </c>
      <c r="E126" s="161">
        <v>2</v>
      </c>
      <c r="F126" s="157" t="s">
        <v>816</v>
      </c>
    </row>
    <row r="127" spans="1:6" ht="15" customHeight="1">
      <c r="A127" s="155">
        <v>1</v>
      </c>
      <c r="B127" s="161" t="s">
        <v>523</v>
      </c>
      <c r="C127" s="162" t="s">
        <v>817</v>
      </c>
      <c r="D127" s="162" t="str">
        <f t="shared" si="1"/>
        <v>北海道新冠町</v>
      </c>
      <c r="E127" s="161">
        <v>2</v>
      </c>
      <c r="F127" s="157" t="s">
        <v>818</v>
      </c>
    </row>
    <row r="128" spans="1:6" ht="15" customHeight="1">
      <c r="A128" s="155">
        <v>1</v>
      </c>
      <c r="B128" s="161" t="s">
        <v>523</v>
      </c>
      <c r="C128" s="162" t="s">
        <v>819</v>
      </c>
      <c r="D128" s="162" t="str">
        <f t="shared" si="1"/>
        <v>北海道仁木町</v>
      </c>
      <c r="E128" s="161">
        <v>2</v>
      </c>
      <c r="F128" s="157" t="s">
        <v>820</v>
      </c>
    </row>
    <row r="129" spans="1:6" ht="15" customHeight="1">
      <c r="A129" s="155">
        <v>1</v>
      </c>
      <c r="B129" s="161" t="s">
        <v>523</v>
      </c>
      <c r="C129" s="162" t="s">
        <v>821</v>
      </c>
      <c r="D129" s="162" t="str">
        <f t="shared" si="1"/>
        <v>北海道西興部村</v>
      </c>
      <c r="E129" s="161">
        <v>1</v>
      </c>
      <c r="F129" s="157" t="s">
        <v>822</v>
      </c>
    </row>
    <row r="130" spans="1:6" ht="15" customHeight="1">
      <c r="A130" s="155">
        <v>1</v>
      </c>
      <c r="B130" s="161" t="s">
        <v>523</v>
      </c>
      <c r="C130" s="162" t="s">
        <v>823</v>
      </c>
      <c r="D130" s="162" t="str">
        <f t="shared" si="1"/>
        <v>北海道ニセコ町</v>
      </c>
      <c r="E130" s="161">
        <v>2</v>
      </c>
      <c r="F130" s="157" t="s">
        <v>824</v>
      </c>
    </row>
    <row r="131" spans="1:6" ht="15" customHeight="1">
      <c r="A131" s="155">
        <v>1</v>
      </c>
      <c r="B131" s="161" t="s">
        <v>523</v>
      </c>
      <c r="C131" s="162" t="s">
        <v>825</v>
      </c>
      <c r="D131" s="162" t="str">
        <f t="shared" si="1"/>
        <v>北海道沼田町</v>
      </c>
      <c r="E131" s="161">
        <v>2</v>
      </c>
      <c r="F131" s="157" t="s">
        <v>826</v>
      </c>
    </row>
    <row r="132" spans="1:6" ht="15" customHeight="1">
      <c r="A132" s="155">
        <v>1</v>
      </c>
      <c r="B132" s="161" t="s">
        <v>523</v>
      </c>
      <c r="C132" s="162" t="s">
        <v>827</v>
      </c>
      <c r="D132" s="162" t="str">
        <f t="shared" ref="D132:D195" si="2">B132&amp;C132</f>
        <v>北海道根室市</v>
      </c>
      <c r="E132" s="161">
        <v>2</v>
      </c>
      <c r="F132" s="157" t="s">
        <v>828</v>
      </c>
    </row>
    <row r="133" spans="1:6" ht="15" customHeight="1">
      <c r="A133" s="155">
        <v>1</v>
      </c>
      <c r="B133" s="161" t="s">
        <v>523</v>
      </c>
      <c r="C133" s="162" t="s">
        <v>829</v>
      </c>
      <c r="D133" s="162" t="str">
        <f t="shared" si="2"/>
        <v>北海道登別市</v>
      </c>
      <c r="E133" s="161">
        <v>2</v>
      </c>
      <c r="F133" s="157" t="s">
        <v>830</v>
      </c>
    </row>
    <row r="134" spans="1:6" ht="15" customHeight="1">
      <c r="A134" s="155">
        <v>1</v>
      </c>
      <c r="B134" s="161" t="s">
        <v>523</v>
      </c>
      <c r="C134" s="162" t="s">
        <v>831</v>
      </c>
      <c r="D134" s="162" t="str">
        <f t="shared" si="2"/>
        <v>北海道函館市</v>
      </c>
      <c r="E134" s="161">
        <v>3</v>
      </c>
      <c r="F134" s="157" t="s">
        <v>832</v>
      </c>
    </row>
    <row r="135" spans="1:6" ht="15" customHeight="1">
      <c r="A135" s="155">
        <v>1</v>
      </c>
      <c r="B135" s="161" t="s">
        <v>523</v>
      </c>
      <c r="C135" s="162" t="s">
        <v>833</v>
      </c>
      <c r="D135" s="162" t="str">
        <f t="shared" si="2"/>
        <v>北海道羽幌町</v>
      </c>
      <c r="E135" s="161">
        <v>2</v>
      </c>
      <c r="F135" s="157" t="s">
        <v>834</v>
      </c>
    </row>
    <row r="136" spans="1:6" ht="15" customHeight="1">
      <c r="A136" s="155">
        <v>1</v>
      </c>
      <c r="B136" s="161" t="s">
        <v>523</v>
      </c>
      <c r="C136" s="162" t="s">
        <v>835</v>
      </c>
      <c r="D136" s="162" t="str">
        <f t="shared" si="2"/>
        <v>北海道浜頓別町</v>
      </c>
      <c r="E136" s="161">
        <v>1</v>
      </c>
      <c r="F136" s="157" t="s">
        <v>836</v>
      </c>
    </row>
    <row r="137" spans="1:6" ht="15" customHeight="1">
      <c r="A137" s="155">
        <v>1</v>
      </c>
      <c r="B137" s="161" t="s">
        <v>523</v>
      </c>
      <c r="C137" s="162" t="s">
        <v>837</v>
      </c>
      <c r="D137" s="162" t="str">
        <f t="shared" si="2"/>
        <v>北海道浜中町</v>
      </c>
      <c r="E137" s="161">
        <v>2</v>
      </c>
      <c r="F137" s="157" t="s">
        <v>838</v>
      </c>
    </row>
    <row r="138" spans="1:6" ht="15" customHeight="1">
      <c r="A138" s="155">
        <v>1</v>
      </c>
      <c r="B138" s="161" t="s">
        <v>523</v>
      </c>
      <c r="C138" s="162" t="s">
        <v>839</v>
      </c>
      <c r="D138" s="162" t="str">
        <f t="shared" si="2"/>
        <v>北海道美瑛町</v>
      </c>
      <c r="E138" s="161">
        <v>1</v>
      </c>
      <c r="F138" s="157" t="s">
        <v>840</v>
      </c>
    </row>
    <row r="139" spans="1:6" ht="15" customHeight="1">
      <c r="A139" s="155">
        <v>1</v>
      </c>
      <c r="B139" s="161" t="s">
        <v>523</v>
      </c>
      <c r="C139" s="162" t="s">
        <v>841</v>
      </c>
      <c r="D139" s="162" t="str">
        <f t="shared" si="2"/>
        <v>北海道東神楽町</v>
      </c>
      <c r="E139" s="161">
        <v>2</v>
      </c>
      <c r="F139" s="157" t="s">
        <v>842</v>
      </c>
    </row>
    <row r="140" spans="1:6" ht="15" customHeight="1">
      <c r="A140" s="155">
        <v>1</v>
      </c>
      <c r="B140" s="161" t="s">
        <v>523</v>
      </c>
      <c r="C140" s="162" t="s">
        <v>843</v>
      </c>
      <c r="D140" s="162" t="str">
        <f t="shared" si="2"/>
        <v>北海道東川町</v>
      </c>
      <c r="E140" s="161">
        <v>2</v>
      </c>
      <c r="F140" s="157" t="s">
        <v>844</v>
      </c>
    </row>
    <row r="141" spans="1:6" ht="15" customHeight="1">
      <c r="A141" s="155">
        <v>1</v>
      </c>
      <c r="B141" s="161" t="s">
        <v>523</v>
      </c>
      <c r="C141" s="162" t="s">
        <v>845</v>
      </c>
      <c r="D141" s="162" t="str">
        <f t="shared" si="2"/>
        <v>北海道日高町</v>
      </c>
      <c r="E141" s="161">
        <v>2</v>
      </c>
      <c r="F141" s="157" t="s">
        <v>846</v>
      </c>
    </row>
    <row r="142" spans="1:6" ht="15" customHeight="1">
      <c r="A142" s="155">
        <v>1</v>
      </c>
      <c r="B142" s="161" t="s">
        <v>523</v>
      </c>
      <c r="C142" s="162" t="s">
        <v>847</v>
      </c>
      <c r="D142" s="162" t="str">
        <f t="shared" si="2"/>
        <v>北海道比布町</v>
      </c>
      <c r="E142" s="161">
        <v>2</v>
      </c>
      <c r="F142" s="157" t="s">
        <v>848</v>
      </c>
    </row>
    <row r="143" spans="1:6" ht="15" customHeight="1">
      <c r="A143" s="155">
        <v>1</v>
      </c>
      <c r="B143" s="161" t="s">
        <v>523</v>
      </c>
      <c r="C143" s="162" t="s">
        <v>849</v>
      </c>
      <c r="D143" s="162" t="str">
        <f t="shared" si="2"/>
        <v>北海道美唄市</v>
      </c>
      <c r="E143" s="161">
        <v>2</v>
      </c>
      <c r="F143" s="157" t="s">
        <v>850</v>
      </c>
    </row>
    <row r="144" spans="1:6" ht="15" customHeight="1">
      <c r="A144" s="155">
        <v>1</v>
      </c>
      <c r="B144" s="161" t="s">
        <v>523</v>
      </c>
      <c r="C144" s="162" t="s">
        <v>851</v>
      </c>
      <c r="D144" s="162" t="str">
        <f t="shared" si="2"/>
        <v>北海道美深町</v>
      </c>
      <c r="E144" s="161">
        <v>1</v>
      </c>
      <c r="F144" s="157" t="s">
        <v>852</v>
      </c>
    </row>
    <row r="145" spans="1:6" ht="15" customHeight="1">
      <c r="A145" s="155">
        <v>1</v>
      </c>
      <c r="B145" s="161" t="s">
        <v>523</v>
      </c>
      <c r="C145" s="162" t="s">
        <v>853</v>
      </c>
      <c r="D145" s="162" t="str">
        <f t="shared" si="2"/>
        <v>北海道美幌町</v>
      </c>
      <c r="E145" s="161">
        <v>2</v>
      </c>
      <c r="F145" s="157" t="s">
        <v>854</v>
      </c>
    </row>
    <row r="146" spans="1:6" ht="15" customHeight="1">
      <c r="A146" s="155">
        <v>1</v>
      </c>
      <c r="B146" s="161" t="s">
        <v>523</v>
      </c>
      <c r="C146" s="162" t="s">
        <v>855</v>
      </c>
      <c r="D146" s="162" t="str">
        <f t="shared" si="2"/>
        <v>北海道平取町</v>
      </c>
      <c r="E146" s="161">
        <v>2</v>
      </c>
      <c r="F146" s="157" t="s">
        <v>856</v>
      </c>
    </row>
    <row r="147" spans="1:6" ht="15" customHeight="1">
      <c r="A147" s="155">
        <v>1</v>
      </c>
      <c r="B147" s="161" t="s">
        <v>523</v>
      </c>
      <c r="C147" s="162" t="s">
        <v>857</v>
      </c>
      <c r="D147" s="162" t="str">
        <f t="shared" si="2"/>
        <v>北海道広尾町</v>
      </c>
      <c r="E147" s="161">
        <v>2</v>
      </c>
      <c r="F147" s="157" t="s">
        <v>858</v>
      </c>
    </row>
    <row r="148" spans="1:6" ht="15" customHeight="1">
      <c r="A148" s="155">
        <v>1</v>
      </c>
      <c r="B148" s="161" t="s">
        <v>523</v>
      </c>
      <c r="C148" s="162" t="s">
        <v>859</v>
      </c>
      <c r="D148" s="162" t="str">
        <f t="shared" si="2"/>
        <v>北海道深川市</v>
      </c>
      <c r="E148" s="161">
        <v>2</v>
      </c>
      <c r="F148" s="157" t="s">
        <v>860</v>
      </c>
    </row>
    <row r="149" spans="1:6" ht="15" customHeight="1">
      <c r="A149" s="155">
        <v>1</v>
      </c>
      <c r="B149" s="161" t="s">
        <v>523</v>
      </c>
      <c r="C149" s="162" t="s">
        <v>861</v>
      </c>
      <c r="D149" s="162" t="str">
        <f t="shared" si="2"/>
        <v>北海道福島町</v>
      </c>
      <c r="E149" s="161">
        <v>3</v>
      </c>
      <c r="F149" s="157" t="s">
        <v>862</v>
      </c>
    </row>
    <row r="150" spans="1:6" ht="15" customHeight="1">
      <c r="A150" s="155">
        <v>1</v>
      </c>
      <c r="B150" s="161" t="s">
        <v>523</v>
      </c>
      <c r="C150" s="162" t="s">
        <v>863</v>
      </c>
      <c r="D150" s="162" t="str">
        <f t="shared" si="2"/>
        <v>北海道富良野市</v>
      </c>
      <c r="E150" s="161">
        <v>2</v>
      </c>
      <c r="F150" s="157" t="s">
        <v>864</v>
      </c>
    </row>
    <row r="151" spans="1:6" ht="15" customHeight="1">
      <c r="A151" s="155">
        <v>1</v>
      </c>
      <c r="B151" s="161" t="s">
        <v>523</v>
      </c>
      <c r="C151" s="162" t="s">
        <v>865</v>
      </c>
      <c r="D151" s="162" t="str">
        <f t="shared" si="2"/>
        <v>北海道古平町</v>
      </c>
      <c r="E151" s="161">
        <v>2</v>
      </c>
      <c r="F151" s="157" t="s">
        <v>866</v>
      </c>
    </row>
    <row r="152" spans="1:6" ht="15" customHeight="1">
      <c r="A152" s="155">
        <v>1</v>
      </c>
      <c r="B152" s="161" t="s">
        <v>523</v>
      </c>
      <c r="C152" s="162" t="s">
        <v>867</v>
      </c>
      <c r="D152" s="162" t="str">
        <f t="shared" si="2"/>
        <v>北海道別海町</v>
      </c>
      <c r="E152" s="161">
        <v>1</v>
      </c>
      <c r="F152" s="157" t="s">
        <v>868</v>
      </c>
    </row>
    <row r="153" spans="1:6" ht="15" customHeight="1">
      <c r="A153" s="155">
        <v>1</v>
      </c>
      <c r="B153" s="161" t="s">
        <v>523</v>
      </c>
      <c r="C153" s="162" t="s">
        <v>869</v>
      </c>
      <c r="D153" s="162" t="str">
        <f t="shared" si="2"/>
        <v>北海道北斗市</v>
      </c>
      <c r="E153" s="161">
        <v>2</v>
      </c>
      <c r="F153" s="157" t="s">
        <v>870</v>
      </c>
    </row>
    <row r="154" spans="1:6" ht="15" customHeight="1">
      <c r="A154" s="155">
        <v>1</v>
      </c>
      <c r="B154" s="161" t="s">
        <v>523</v>
      </c>
      <c r="C154" s="162" t="s">
        <v>871</v>
      </c>
      <c r="D154" s="162" t="str">
        <f t="shared" si="2"/>
        <v>北海道北竜町</v>
      </c>
      <c r="E154" s="161">
        <v>2</v>
      </c>
      <c r="F154" s="157" t="s">
        <v>872</v>
      </c>
    </row>
    <row r="155" spans="1:6" ht="15" customHeight="1">
      <c r="A155" s="155">
        <v>1</v>
      </c>
      <c r="B155" s="161" t="s">
        <v>523</v>
      </c>
      <c r="C155" s="162" t="s">
        <v>873</v>
      </c>
      <c r="D155" s="162" t="str">
        <f t="shared" si="2"/>
        <v>北海道幌加内町</v>
      </c>
      <c r="E155" s="161">
        <v>1</v>
      </c>
      <c r="F155" s="157" t="s">
        <v>874</v>
      </c>
    </row>
    <row r="156" spans="1:6" ht="15" customHeight="1">
      <c r="A156" s="155">
        <v>1</v>
      </c>
      <c r="B156" s="161" t="s">
        <v>523</v>
      </c>
      <c r="C156" s="162" t="s">
        <v>875</v>
      </c>
      <c r="D156" s="162" t="str">
        <f t="shared" si="2"/>
        <v>北海道幌延町</v>
      </c>
      <c r="E156" s="161">
        <v>2</v>
      </c>
      <c r="F156" s="157" t="s">
        <v>876</v>
      </c>
    </row>
    <row r="157" spans="1:6" ht="15" customHeight="1">
      <c r="A157" s="155">
        <v>1</v>
      </c>
      <c r="B157" s="161" t="s">
        <v>523</v>
      </c>
      <c r="C157" s="162" t="s">
        <v>877</v>
      </c>
      <c r="D157" s="162" t="str">
        <f t="shared" si="2"/>
        <v>北海道本別町</v>
      </c>
      <c r="E157" s="161">
        <v>2</v>
      </c>
      <c r="F157" s="157" t="s">
        <v>878</v>
      </c>
    </row>
    <row r="158" spans="1:6" ht="15" customHeight="1">
      <c r="A158" s="155">
        <v>1</v>
      </c>
      <c r="B158" s="161" t="s">
        <v>523</v>
      </c>
      <c r="C158" s="162" t="s">
        <v>879</v>
      </c>
      <c r="D158" s="162" t="str">
        <f t="shared" si="2"/>
        <v>北海道幕別町（旧忠類村に限る。）</v>
      </c>
      <c r="E158" s="161">
        <v>1</v>
      </c>
      <c r="F158" s="157" t="s">
        <v>880</v>
      </c>
    </row>
    <row r="159" spans="1:6" ht="15" customHeight="1">
      <c r="A159" s="155">
        <v>1</v>
      </c>
      <c r="B159" s="161" t="s">
        <v>523</v>
      </c>
      <c r="C159" s="162" t="s">
        <v>881</v>
      </c>
      <c r="D159" s="162" t="str">
        <f t="shared" si="2"/>
        <v>北海道幕別町（旧幕別町に限る。）</v>
      </c>
      <c r="E159" s="161">
        <v>2</v>
      </c>
      <c r="F159" s="157" t="s">
        <v>882</v>
      </c>
    </row>
    <row r="160" spans="1:6" ht="15" customHeight="1">
      <c r="A160" s="155">
        <v>1</v>
      </c>
      <c r="B160" s="161" t="s">
        <v>523</v>
      </c>
      <c r="C160" s="162" t="s">
        <v>883</v>
      </c>
      <c r="D160" s="162" t="str">
        <f t="shared" si="2"/>
        <v>北海道増毛町</v>
      </c>
      <c r="E160" s="161">
        <v>2</v>
      </c>
      <c r="F160" s="157" t="s">
        <v>884</v>
      </c>
    </row>
    <row r="161" spans="1:6" ht="15" customHeight="1">
      <c r="A161" s="155">
        <v>1</v>
      </c>
      <c r="B161" s="161" t="s">
        <v>523</v>
      </c>
      <c r="C161" s="162" t="s">
        <v>885</v>
      </c>
      <c r="D161" s="162" t="str">
        <f t="shared" si="2"/>
        <v>北海道真狩村</v>
      </c>
      <c r="E161" s="161">
        <v>2</v>
      </c>
      <c r="F161" s="157" t="s">
        <v>886</v>
      </c>
    </row>
    <row r="162" spans="1:6" ht="15" customHeight="1">
      <c r="A162" s="155">
        <v>1</v>
      </c>
      <c r="B162" s="161" t="s">
        <v>523</v>
      </c>
      <c r="C162" s="162" t="s">
        <v>887</v>
      </c>
      <c r="D162" s="162" t="str">
        <f t="shared" si="2"/>
        <v>北海道松前町</v>
      </c>
      <c r="E162" s="161">
        <v>3</v>
      </c>
      <c r="F162" s="157" t="s">
        <v>888</v>
      </c>
    </row>
    <row r="163" spans="1:6" ht="15" customHeight="1">
      <c r="A163" s="155">
        <v>1</v>
      </c>
      <c r="B163" s="161" t="s">
        <v>523</v>
      </c>
      <c r="C163" s="162" t="s">
        <v>889</v>
      </c>
      <c r="D163" s="162" t="str">
        <f t="shared" si="2"/>
        <v>北海道三笠市</v>
      </c>
      <c r="E163" s="161">
        <v>2</v>
      </c>
      <c r="F163" s="157" t="s">
        <v>890</v>
      </c>
    </row>
    <row r="164" spans="1:6" ht="15" customHeight="1">
      <c r="A164" s="155">
        <v>1</v>
      </c>
      <c r="B164" s="161" t="s">
        <v>523</v>
      </c>
      <c r="C164" s="162" t="s">
        <v>891</v>
      </c>
      <c r="D164" s="162" t="str">
        <f t="shared" si="2"/>
        <v>北海道南富良野町</v>
      </c>
      <c r="E164" s="161">
        <v>1</v>
      </c>
      <c r="F164" s="157" t="s">
        <v>892</v>
      </c>
    </row>
    <row r="165" spans="1:6" ht="15" customHeight="1">
      <c r="A165" s="155">
        <v>1</v>
      </c>
      <c r="B165" s="161" t="s">
        <v>523</v>
      </c>
      <c r="C165" s="162" t="s">
        <v>893</v>
      </c>
      <c r="D165" s="162" t="str">
        <f t="shared" si="2"/>
        <v>北海道むかわ町</v>
      </c>
      <c r="E165" s="161">
        <v>2</v>
      </c>
      <c r="F165" s="157" t="s">
        <v>894</v>
      </c>
    </row>
    <row r="166" spans="1:6" ht="15" customHeight="1">
      <c r="A166" s="155">
        <v>1</v>
      </c>
      <c r="B166" s="161" t="s">
        <v>523</v>
      </c>
      <c r="C166" s="162" t="s">
        <v>895</v>
      </c>
      <c r="D166" s="162" t="str">
        <f t="shared" si="2"/>
        <v>北海道室蘭市</v>
      </c>
      <c r="E166" s="161">
        <v>3</v>
      </c>
      <c r="F166" s="157" t="s">
        <v>896</v>
      </c>
    </row>
    <row r="167" spans="1:6" ht="15" customHeight="1">
      <c r="A167" s="155">
        <v>1</v>
      </c>
      <c r="B167" s="161" t="s">
        <v>523</v>
      </c>
      <c r="C167" s="162" t="s">
        <v>897</v>
      </c>
      <c r="D167" s="162" t="str">
        <f t="shared" si="2"/>
        <v>北海道芽室町</v>
      </c>
      <c r="E167" s="161">
        <v>2</v>
      </c>
      <c r="F167" s="157" t="s">
        <v>898</v>
      </c>
    </row>
    <row r="168" spans="1:6" ht="15" customHeight="1">
      <c r="A168" s="155">
        <v>1</v>
      </c>
      <c r="B168" s="161" t="s">
        <v>523</v>
      </c>
      <c r="C168" s="162" t="s">
        <v>899</v>
      </c>
      <c r="D168" s="162" t="str">
        <f t="shared" si="2"/>
        <v>北海道妹背牛町</v>
      </c>
      <c r="E168" s="161">
        <v>2</v>
      </c>
      <c r="F168" s="157" t="s">
        <v>900</v>
      </c>
    </row>
    <row r="169" spans="1:6" ht="15" customHeight="1">
      <c r="A169" s="155">
        <v>1</v>
      </c>
      <c r="B169" s="161" t="s">
        <v>523</v>
      </c>
      <c r="C169" s="162" t="s">
        <v>901</v>
      </c>
      <c r="D169" s="162" t="str">
        <f t="shared" si="2"/>
        <v>北海道森町</v>
      </c>
      <c r="E169" s="161">
        <v>2</v>
      </c>
      <c r="F169" s="157" t="s">
        <v>902</v>
      </c>
    </row>
    <row r="170" spans="1:6" ht="15" customHeight="1">
      <c r="A170" s="155">
        <v>1</v>
      </c>
      <c r="B170" s="161" t="s">
        <v>523</v>
      </c>
      <c r="C170" s="162" t="s">
        <v>903</v>
      </c>
      <c r="D170" s="162" t="str">
        <f t="shared" si="2"/>
        <v>北海道紋別市</v>
      </c>
      <c r="E170" s="161">
        <v>2</v>
      </c>
      <c r="F170" s="157" t="s">
        <v>904</v>
      </c>
    </row>
    <row r="171" spans="1:6" ht="15" customHeight="1">
      <c r="A171" s="155">
        <v>1</v>
      </c>
      <c r="B171" s="161" t="s">
        <v>523</v>
      </c>
      <c r="C171" s="162" t="s">
        <v>905</v>
      </c>
      <c r="D171" s="162" t="str">
        <f t="shared" si="2"/>
        <v>北海道八雲町(旧熊石町に限る。)</v>
      </c>
      <c r="E171" s="161">
        <v>3</v>
      </c>
      <c r="F171" s="157" t="s">
        <v>906</v>
      </c>
    </row>
    <row r="172" spans="1:6" ht="15" customHeight="1">
      <c r="A172" s="155">
        <v>1</v>
      </c>
      <c r="B172" s="161" t="s">
        <v>523</v>
      </c>
      <c r="C172" s="162" t="s">
        <v>907</v>
      </c>
      <c r="D172" s="162" t="str">
        <f t="shared" si="2"/>
        <v>北海道八雲町(旧八雲町に限る。)</v>
      </c>
      <c r="E172" s="161">
        <v>2</v>
      </c>
      <c r="F172" s="157" t="s">
        <v>908</v>
      </c>
    </row>
    <row r="173" spans="1:6" ht="15" customHeight="1">
      <c r="A173" s="155">
        <v>1</v>
      </c>
      <c r="B173" s="161" t="s">
        <v>523</v>
      </c>
      <c r="C173" s="162" t="s">
        <v>909</v>
      </c>
      <c r="D173" s="162" t="str">
        <f t="shared" si="2"/>
        <v>北海道夕張市</v>
      </c>
      <c r="E173" s="161">
        <v>1</v>
      </c>
      <c r="F173" s="157" t="s">
        <v>910</v>
      </c>
    </row>
    <row r="174" spans="1:6" ht="15" customHeight="1">
      <c r="A174" s="155">
        <v>1</v>
      </c>
      <c r="B174" s="161" t="s">
        <v>523</v>
      </c>
      <c r="C174" s="162" t="s">
        <v>911</v>
      </c>
      <c r="D174" s="162" t="str">
        <f t="shared" si="2"/>
        <v>北海道湧別町</v>
      </c>
      <c r="E174" s="161">
        <v>2</v>
      </c>
      <c r="F174" s="157" t="s">
        <v>912</v>
      </c>
    </row>
    <row r="175" spans="1:6" ht="15" customHeight="1">
      <c r="A175" s="155">
        <v>1</v>
      </c>
      <c r="B175" s="161" t="s">
        <v>523</v>
      </c>
      <c r="C175" s="162" t="s">
        <v>913</v>
      </c>
      <c r="D175" s="162" t="str">
        <f t="shared" si="2"/>
        <v>北海道由仁町</v>
      </c>
      <c r="E175" s="161">
        <v>2</v>
      </c>
      <c r="F175" s="157" t="s">
        <v>914</v>
      </c>
    </row>
    <row r="176" spans="1:6" ht="15" customHeight="1">
      <c r="A176" s="155">
        <v>1</v>
      </c>
      <c r="B176" s="161" t="s">
        <v>523</v>
      </c>
      <c r="C176" s="162" t="s">
        <v>915</v>
      </c>
      <c r="D176" s="162" t="str">
        <f t="shared" si="2"/>
        <v>北海道余市町</v>
      </c>
      <c r="E176" s="161">
        <v>2</v>
      </c>
      <c r="F176" s="157" t="s">
        <v>916</v>
      </c>
    </row>
    <row r="177" spans="1:6" ht="15" customHeight="1">
      <c r="A177" s="155">
        <v>1</v>
      </c>
      <c r="B177" s="161" t="s">
        <v>523</v>
      </c>
      <c r="C177" s="162" t="s">
        <v>917</v>
      </c>
      <c r="D177" s="162" t="str">
        <f t="shared" si="2"/>
        <v>北海道羅臼町</v>
      </c>
      <c r="E177" s="161">
        <v>2</v>
      </c>
      <c r="F177" s="157" t="s">
        <v>918</v>
      </c>
    </row>
    <row r="178" spans="1:6" ht="15" customHeight="1">
      <c r="A178" s="155">
        <v>1</v>
      </c>
      <c r="B178" s="161" t="s">
        <v>523</v>
      </c>
      <c r="C178" s="162" t="s">
        <v>919</v>
      </c>
      <c r="D178" s="162" t="str">
        <f t="shared" si="2"/>
        <v>北海道蘭越町</v>
      </c>
      <c r="E178" s="161">
        <v>2</v>
      </c>
      <c r="F178" s="157" t="s">
        <v>920</v>
      </c>
    </row>
    <row r="179" spans="1:6" ht="15" customHeight="1">
      <c r="A179" s="155">
        <v>1</v>
      </c>
      <c r="B179" s="161" t="s">
        <v>523</v>
      </c>
      <c r="C179" s="162" t="s">
        <v>921</v>
      </c>
      <c r="D179" s="162" t="str">
        <f t="shared" si="2"/>
        <v>北海道陸別町</v>
      </c>
      <c r="E179" s="161">
        <v>1</v>
      </c>
      <c r="F179" s="157" t="s">
        <v>922</v>
      </c>
    </row>
    <row r="180" spans="1:6" ht="15" customHeight="1">
      <c r="A180" s="155">
        <v>1</v>
      </c>
      <c r="B180" s="161" t="s">
        <v>523</v>
      </c>
      <c r="C180" s="162" t="s">
        <v>923</v>
      </c>
      <c r="D180" s="162" t="str">
        <f t="shared" si="2"/>
        <v>北海道利尻町</v>
      </c>
      <c r="E180" s="161">
        <v>2</v>
      </c>
      <c r="F180" s="157" t="s">
        <v>924</v>
      </c>
    </row>
    <row r="181" spans="1:6" ht="15" customHeight="1">
      <c r="A181" s="155">
        <v>1</v>
      </c>
      <c r="B181" s="161" t="s">
        <v>523</v>
      </c>
      <c r="C181" s="162" t="s">
        <v>925</v>
      </c>
      <c r="D181" s="162" t="str">
        <f t="shared" si="2"/>
        <v>北海道利尻富士町</v>
      </c>
      <c r="E181" s="161">
        <v>2</v>
      </c>
      <c r="F181" s="157" t="s">
        <v>926</v>
      </c>
    </row>
    <row r="182" spans="1:6" ht="15" customHeight="1">
      <c r="A182" s="155">
        <v>1</v>
      </c>
      <c r="B182" s="161" t="s">
        <v>523</v>
      </c>
      <c r="C182" s="162" t="s">
        <v>927</v>
      </c>
      <c r="D182" s="162" t="str">
        <f t="shared" si="2"/>
        <v>北海道留寿都村</v>
      </c>
      <c r="E182" s="161">
        <v>1</v>
      </c>
      <c r="F182" s="157" t="s">
        <v>928</v>
      </c>
    </row>
    <row r="183" spans="1:6" ht="15" customHeight="1">
      <c r="A183" s="155">
        <v>1</v>
      </c>
      <c r="B183" s="161" t="s">
        <v>523</v>
      </c>
      <c r="C183" s="162" t="s">
        <v>929</v>
      </c>
      <c r="D183" s="162" t="str">
        <f t="shared" si="2"/>
        <v>北海道留萌市</v>
      </c>
      <c r="E183" s="161">
        <v>2</v>
      </c>
      <c r="F183" s="157" t="s">
        <v>930</v>
      </c>
    </row>
    <row r="184" spans="1:6" ht="15" customHeight="1">
      <c r="A184" s="155">
        <v>1</v>
      </c>
      <c r="B184" s="161" t="s">
        <v>523</v>
      </c>
      <c r="C184" s="162" t="s">
        <v>931</v>
      </c>
      <c r="D184" s="162" t="str">
        <f t="shared" si="2"/>
        <v>北海道礼文町</v>
      </c>
      <c r="E184" s="161">
        <v>2</v>
      </c>
      <c r="F184" s="157" t="s">
        <v>932</v>
      </c>
    </row>
    <row r="185" spans="1:6" ht="15" customHeight="1">
      <c r="A185" s="155">
        <v>1</v>
      </c>
      <c r="B185" s="161" t="s">
        <v>523</v>
      </c>
      <c r="C185" s="162" t="s">
        <v>933</v>
      </c>
      <c r="D185" s="162" t="str">
        <f t="shared" si="2"/>
        <v>北海道稚内市</v>
      </c>
      <c r="E185" s="161">
        <v>2</v>
      </c>
      <c r="F185" s="157" t="s">
        <v>934</v>
      </c>
    </row>
    <row r="186" spans="1:6" ht="15" customHeight="1">
      <c r="A186" s="155">
        <v>1</v>
      </c>
      <c r="B186" s="161" t="s">
        <v>523</v>
      </c>
      <c r="C186" s="162" t="s">
        <v>935</v>
      </c>
      <c r="D186" s="162" t="str">
        <f t="shared" si="2"/>
        <v>北海道和寒町</v>
      </c>
      <c r="E186" s="161">
        <v>2</v>
      </c>
      <c r="F186" s="157" t="s">
        <v>936</v>
      </c>
    </row>
    <row r="187" spans="1:6" ht="15" customHeight="1">
      <c r="A187" s="155">
        <v>2</v>
      </c>
      <c r="B187" s="161" t="s">
        <v>529</v>
      </c>
      <c r="C187" s="162" t="s">
        <v>937</v>
      </c>
      <c r="D187" s="162" t="str">
        <f t="shared" si="2"/>
        <v>青森県青森市</v>
      </c>
      <c r="E187" s="161">
        <v>3</v>
      </c>
      <c r="F187" s="157" t="s">
        <v>938</v>
      </c>
    </row>
    <row r="188" spans="1:6" ht="15" customHeight="1">
      <c r="A188" s="155">
        <v>2</v>
      </c>
      <c r="B188" s="161" t="s">
        <v>529</v>
      </c>
      <c r="C188" s="162" t="s">
        <v>939</v>
      </c>
      <c r="D188" s="162" t="str">
        <f t="shared" si="2"/>
        <v>青森県鰺ヶ沢町</v>
      </c>
      <c r="E188" s="161">
        <v>4</v>
      </c>
      <c r="F188" s="157" t="s">
        <v>940</v>
      </c>
    </row>
    <row r="189" spans="1:6" ht="15" customHeight="1">
      <c r="A189" s="155">
        <v>2</v>
      </c>
      <c r="B189" s="161" t="s">
        <v>529</v>
      </c>
      <c r="C189" s="162" t="s">
        <v>941</v>
      </c>
      <c r="D189" s="162" t="str">
        <f t="shared" si="2"/>
        <v>青森県板柳町</v>
      </c>
      <c r="E189" s="161">
        <v>3</v>
      </c>
      <c r="F189" s="157" t="s">
        <v>942</v>
      </c>
    </row>
    <row r="190" spans="1:6" ht="15" customHeight="1">
      <c r="A190" s="155">
        <v>2</v>
      </c>
      <c r="B190" s="161" t="s">
        <v>529</v>
      </c>
      <c r="C190" s="162" t="s">
        <v>943</v>
      </c>
      <c r="D190" s="162" t="str">
        <f t="shared" si="2"/>
        <v>青森県田舎館村</v>
      </c>
      <c r="E190" s="161">
        <v>3</v>
      </c>
      <c r="F190" s="157" t="s">
        <v>944</v>
      </c>
    </row>
    <row r="191" spans="1:6" ht="15" customHeight="1">
      <c r="A191" s="155">
        <v>2</v>
      </c>
      <c r="B191" s="161" t="s">
        <v>529</v>
      </c>
      <c r="C191" s="162" t="s">
        <v>945</v>
      </c>
      <c r="D191" s="162" t="str">
        <f t="shared" si="2"/>
        <v>青森県今別町</v>
      </c>
      <c r="E191" s="161">
        <v>3</v>
      </c>
      <c r="F191" s="157" t="s">
        <v>946</v>
      </c>
    </row>
    <row r="192" spans="1:6" ht="15" customHeight="1">
      <c r="A192" s="155">
        <v>2</v>
      </c>
      <c r="B192" s="161" t="s">
        <v>529</v>
      </c>
      <c r="C192" s="162" t="s">
        <v>947</v>
      </c>
      <c r="D192" s="162" t="str">
        <f t="shared" si="2"/>
        <v>青森県おいらせ町</v>
      </c>
      <c r="E192" s="161">
        <v>3</v>
      </c>
      <c r="F192" s="157" t="s">
        <v>948</v>
      </c>
    </row>
    <row r="193" spans="1:6" ht="15" customHeight="1">
      <c r="A193" s="155">
        <v>2</v>
      </c>
      <c r="B193" s="161" t="s">
        <v>529</v>
      </c>
      <c r="C193" s="162" t="s">
        <v>949</v>
      </c>
      <c r="D193" s="162" t="str">
        <f t="shared" si="2"/>
        <v>青森県大間町</v>
      </c>
      <c r="E193" s="161">
        <v>3</v>
      </c>
      <c r="F193" s="157" t="s">
        <v>950</v>
      </c>
    </row>
    <row r="194" spans="1:6" ht="15" customHeight="1">
      <c r="A194" s="155">
        <v>2</v>
      </c>
      <c r="B194" s="161" t="s">
        <v>529</v>
      </c>
      <c r="C194" s="162" t="s">
        <v>951</v>
      </c>
      <c r="D194" s="162" t="str">
        <f t="shared" si="2"/>
        <v>青森県大鰐町</v>
      </c>
      <c r="E194" s="161">
        <v>3</v>
      </c>
      <c r="F194" s="157" t="s">
        <v>952</v>
      </c>
    </row>
    <row r="195" spans="1:6" ht="15" customHeight="1">
      <c r="A195" s="155">
        <v>2</v>
      </c>
      <c r="B195" s="161" t="s">
        <v>529</v>
      </c>
      <c r="C195" s="162" t="s">
        <v>953</v>
      </c>
      <c r="D195" s="162" t="str">
        <f t="shared" si="2"/>
        <v>青森県風間浦村</v>
      </c>
      <c r="E195" s="161">
        <v>3</v>
      </c>
      <c r="F195" s="157" t="s">
        <v>954</v>
      </c>
    </row>
    <row r="196" spans="1:6" ht="15" customHeight="1">
      <c r="A196" s="155">
        <v>2</v>
      </c>
      <c r="B196" s="161" t="s">
        <v>529</v>
      </c>
      <c r="C196" s="162" t="s">
        <v>955</v>
      </c>
      <c r="D196" s="162" t="str">
        <f t="shared" ref="D196:D259" si="3">B196&amp;C196</f>
        <v>青森県黒石市</v>
      </c>
      <c r="E196" s="161">
        <v>3</v>
      </c>
      <c r="F196" s="157" t="s">
        <v>956</v>
      </c>
    </row>
    <row r="197" spans="1:6" ht="15" customHeight="1">
      <c r="A197" s="155">
        <v>2</v>
      </c>
      <c r="B197" s="161" t="s">
        <v>529</v>
      </c>
      <c r="C197" s="162" t="s">
        <v>957</v>
      </c>
      <c r="D197" s="162" t="str">
        <f t="shared" si="3"/>
        <v>青森県五所川原市</v>
      </c>
      <c r="E197" s="161">
        <v>3</v>
      </c>
      <c r="F197" s="157" t="s">
        <v>958</v>
      </c>
    </row>
    <row r="198" spans="1:6" ht="15" customHeight="1">
      <c r="A198" s="155">
        <v>2</v>
      </c>
      <c r="B198" s="161" t="s">
        <v>529</v>
      </c>
      <c r="C198" s="162" t="s">
        <v>959</v>
      </c>
      <c r="D198" s="162" t="str">
        <f t="shared" si="3"/>
        <v>青森県五戸町</v>
      </c>
      <c r="E198" s="161">
        <v>3</v>
      </c>
      <c r="F198" s="157" t="s">
        <v>960</v>
      </c>
    </row>
    <row r="199" spans="1:6" ht="15" customHeight="1">
      <c r="A199" s="155">
        <v>2</v>
      </c>
      <c r="B199" s="161" t="s">
        <v>529</v>
      </c>
      <c r="C199" s="162" t="s">
        <v>961</v>
      </c>
      <c r="D199" s="162" t="str">
        <f t="shared" si="3"/>
        <v>青森県佐井村</v>
      </c>
      <c r="E199" s="161">
        <v>3</v>
      </c>
      <c r="F199" s="157" t="s">
        <v>962</v>
      </c>
    </row>
    <row r="200" spans="1:6" ht="15" customHeight="1">
      <c r="A200" s="155">
        <v>2</v>
      </c>
      <c r="B200" s="161" t="s">
        <v>529</v>
      </c>
      <c r="C200" s="162" t="s">
        <v>963</v>
      </c>
      <c r="D200" s="162" t="str">
        <f t="shared" si="3"/>
        <v>青森県三戸町</v>
      </c>
      <c r="E200" s="161">
        <v>3</v>
      </c>
      <c r="F200" s="157" t="s">
        <v>964</v>
      </c>
    </row>
    <row r="201" spans="1:6" ht="15" customHeight="1">
      <c r="A201" s="155">
        <v>2</v>
      </c>
      <c r="B201" s="161" t="s">
        <v>529</v>
      </c>
      <c r="C201" s="162" t="s">
        <v>965</v>
      </c>
      <c r="D201" s="162" t="str">
        <f t="shared" si="3"/>
        <v>青森県七戸町</v>
      </c>
      <c r="E201" s="161">
        <v>3</v>
      </c>
      <c r="F201" s="157" t="s">
        <v>966</v>
      </c>
    </row>
    <row r="202" spans="1:6" ht="15" customHeight="1">
      <c r="A202" s="155">
        <v>2</v>
      </c>
      <c r="B202" s="161" t="s">
        <v>529</v>
      </c>
      <c r="C202" s="162" t="s">
        <v>967</v>
      </c>
      <c r="D202" s="162" t="str">
        <f t="shared" si="3"/>
        <v>青森県新郷村</v>
      </c>
      <c r="E202" s="161">
        <v>3</v>
      </c>
      <c r="F202" s="157" t="s">
        <v>968</v>
      </c>
    </row>
    <row r="203" spans="1:6" ht="15" customHeight="1">
      <c r="A203" s="155">
        <v>2</v>
      </c>
      <c r="B203" s="161" t="s">
        <v>529</v>
      </c>
      <c r="C203" s="162" t="s">
        <v>969</v>
      </c>
      <c r="D203" s="162" t="str">
        <f t="shared" si="3"/>
        <v>青森県外ヶ浜町</v>
      </c>
      <c r="E203" s="161">
        <v>3</v>
      </c>
      <c r="F203" s="157" t="s">
        <v>970</v>
      </c>
    </row>
    <row r="204" spans="1:6" ht="15" customHeight="1">
      <c r="A204" s="155">
        <v>2</v>
      </c>
      <c r="B204" s="161" t="s">
        <v>529</v>
      </c>
      <c r="C204" s="162" t="s">
        <v>971</v>
      </c>
      <c r="D204" s="162" t="str">
        <f t="shared" si="3"/>
        <v>青森県田子町</v>
      </c>
      <c r="E204" s="161">
        <v>3</v>
      </c>
      <c r="F204" s="157" t="s">
        <v>972</v>
      </c>
    </row>
    <row r="205" spans="1:6" ht="15" customHeight="1">
      <c r="A205" s="155">
        <v>2</v>
      </c>
      <c r="B205" s="161" t="s">
        <v>529</v>
      </c>
      <c r="C205" s="162" t="s">
        <v>973</v>
      </c>
      <c r="D205" s="162" t="str">
        <f t="shared" si="3"/>
        <v>青森県つがる市</v>
      </c>
      <c r="E205" s="161">
        <v>3</v>
      </c>
      <c r="F205" s="157" t="s">
        <v>974</v>
      </c>
    </row>
    <row r="206" spans="1:6" ht="15" customHeight="1">
      <c r="A206" s="155">
        <v>2</v>
      </c>
      <c r="B206" s="161" t="s">
        <v>529</v>
      </c>
      <c r="C206" s="162" t="s">
        <v>975</v>
      </c>
      <c r="D206" s="162" t="str">
        <f t="shared" si="3"/>
        <v>青森県鶴田町</v>
      </c>
      <c r="E206" s="161">
        <v>3</v>
      </c>
      <c r="F206" s="157" t="s">
        <v>976</v>
      </c>
    </row>
    <row r="207" spans="1:6" ht="15" customHeight="1">
      <c r="A207" s="155">
        <v>2</v>
      </c>
      <c r="B207" s="161" t="s">
        <v>529</v>
      </c>
      <c r="C207" s="162" t="s">
        <v>977</v>
      </c>
      <c r="D207" s="162" t="str">
        <f t="shared" si="3"/>
        <v>青森県東北町</v>
      </c>
      <c r="E207" s="161">
        <v>3</v>
      </c>
      <c r="F207" s="157" t="s">
        <v>978</v>
      </c>
    </row>
    <row r="208" spans="1:6" ht="15" customHeight="1">
      <c r="A208" s="155">
        <v>2</v>
      </c>
      <c r="B208" s="161" t="s">
        <v>529</v>
      </c>
      <c r="C208" s="162" t="s">
        <v>979</v>
      </c>
      <c r="D208" s="162" t="str">
        <f t="shared" si="3"/>
        <v>青森県十和田市</v>
      </c>
      <c r="E208" s="161">
        <v>3</v>
      </c>
      <c r="F208" s="157" t="s">
        <v>980</v>
      </c>
    </row>
    <row r="209" spans="1:6" ht="15" customHeight="1">
      <c r="A209" s="155">
        <v>2</v>
      </c>
      <c r="B209" s="161" t="s">
        <v>529</v>
      </c>
      <c r="C209" s="162" t="s">
        <v>981</v>
      </c>
      <c r="D209" s="162" t="str">
        <f t="shared" si="3"/>
        <v>青森県中泊町</v>
      </c>
      <c r="E209" s="161">
        <v>3</v>
      </c>
      <c r="F209" s="157" t="s">
        <v>982</v>
      </c>
    </row>
    <row r="210" spans="1:6" ht="15" customHeight="1">
      <c r="A210" s="155">
        <v>2</v>
      </c>
      <c r="B210" s="161" t="s">
        <v>529</v>
      </c>
      <c r="C210" s="162" t="s">
        <v>983</v>
      </c>
      <c r="D210" s="162" t="str">
        <f t="shared" si="3"/>
        <v>青森県南部町</v>
      </c>
      <c r="E210" s="161">
        <v>3</v>
      </c>
      <c r="F210" s="157" t="s">
        <v>984</v>
      </c>
    </row>
    <row r="211" spans="1:6" ht="15" customHeight="1">
      <c r="A211" s="155">
        <v>2</v>
      </c>
      <c r="B211" s="161" t="s">
        <v>529</v>
      </c>
      <c r="C211" s="162" t="s">
        <v>985</v>
      </c>
      <c r="D211" s="162" t="str">
        <f t="shared" si="3"/>
        <v>青森県西目屋村</v>
      </c>
      <c r="E211" s="161">
        <v>3</v>
      </c>
      <c r="F211" s="157" t="s">
        <v>986</v>
      </c>
    </row>
    <row r="212" spans="1:6" ht="15" customHeight="1">
      <c r="A212" s="155">
        <v>2</v>
      </c>
      <c r="B212" s="161" t="s">
        <v>529</v>
      </c>
      <c r="C212" s="162" t="s">
        <v>987</v>
      </c>
      <c r="D212" s="162" t="str">
        <f t="shared" si="3"/>
        <v>青森県野辺地町</v>
      </c>
      <c r="E212" s="161">
        <v>3</v>
      </c>
      <c r="F212" s="157" t="s">
        <v>988</v>
      </c>
    </row>
    <row r="213" spans="1:6" ht="15" customHeight="1">
      <c r="A213" s="155">
        <v>2</v>
      </c>
      <c r="B213" s="161" t="s">
        <v>529</v>
      </c>
      <c r="C213" s="162" t="s">
        <v>989</v>
      </c>
      <c r="D213" s="162" t="str">
        <f t="shared" si="3"/>
        <v>青森県階上町</v>
      </c>
      <c r="E213" s="161">
        <v>3</v>
      </c>
      <c r="F213" s="157" t="s">
        <v>990</v>
      </c>
    </row>
    <row r="214" spans="1:6" ht="15" customHeight="1">
      <c r="A214" s="155">
        <v>2</v>
      </c>
      <c r="B214" s="161" t="s">
        <v>529</v>
      </c>
      <c r="C214" s="162" t="s">
        <v>991</v>
      </c>
      <c r="D214" s="162" t="str">
        <f t="shared" si="3"/>
        <v>青森県八戸市</v>
      </c>
      <c r="E214" s="161">
        <v>3</v>
      </c>
      <c r="F214" s="157" t="s">
        <v>992</v>
      </c>
    </row>
    <row r="215" spans="1:6" ht="15" customHeight="1">
      <c r="A215" s="155">
        <v>2</v>
      </c>
      <c r="B215" s="161" t="s">
        <v>529</v>
      </c>
      <c r="C215" s="162" t="s">
        <v>993</v>
      </c>
      <c r="D215" s="162" t="str">
        <f t="shared" si="3"/>
        <v>青森県東通村</v>
      </c>
      <c r="E215" s="161">
        <v>3</v>
      </c>
      <c r="F215" s="157" t="s">
        <v>994</v>
      </c>
    </row>
    <row r="216" spans="1:6" ht="15" customHeight="1">
      <c r="A216" s="155">
        <v>2</v>
      </c>
      <c r="B216" s="161" t="s">
        <v>529</v>
      </c>
      <c r="C216" s="162" t="s">
        <v>995</v>
      </c>
      <c r="D216" s="162" t="str">
        <f t="shared" si="3"/>
        <v>青森県平川市（旧碇ヶ関村に限る。）</v>
      </c>
      <c r="E216" s="161">
        <v>2</v>
      </c>
      <c r="F216" s="157" t="s">
        <v>996</v>
      </c>
    </row>
    <row r="217" spans="1:6" ht="15" customHeight="1">
      <c r="A217" s="155">
        <v>2</v>
      </c>
      <c r="B217" s="161" t="s">
        <v>529</v>
      </c>
      <c r="C217" s="162" t="s">
        <v>997</v>
      </c>
      <c r="D217" s="162" t="str">
        <f t="shared" si="3"/>
        <v>青森県平川市（旧尾上町、旧平賀町に限る。）</v>
      </c>
      <c r="E217" s="161">
        <v>3</v>
      </c>
      <c r="F217" s="157" t="s">
        <v>998</v>
      </c>
    </row>
    <row r="218" spans="1:6" ht="15" customHeight="1">
      <c r="A218" s="155">
        <v>2</v>
      </c>
      <c r="B218" s="161" t="s">
        <v>529</v>
      </c>
      <c r="C218" s="162" t="s">
        <v>999</v>
      </c>
      <c r="D218" s="162" t="str">
        <f t="shared" si="3"/>
        <v>青森県平内町</v>
      </c>
      <c r="E218" s="161">
        <v>3</v>
      </c>
      <c r="F218" s="157" t="s">
        <v>1000</v>
      </c>
    </row>
    <row r="219" spans="1:6" ht="15" customHeight="1">
      <c r="A219" s="155">
        <v>2</v>
      </c>
      <c r="B219" s="161" t="s">
        <v>529</v>
      </c>
      <c r="C219" s="162" t="s">
        <v>1001</v>
      </c>
      <c r="D219" s="162" t="str">
        <f t="shared" si="3"/>
        <v>青森県弘前市</v>
      </c>
      <c r="E219" s="161">
        <v>3</v>
      </c>
      <c r="F219" s="157" t="s">
        <v>1002</v>
      </c>
    </row>
    <row r="220" spans="1:6" ht="15" customHeight="1">
      <c r="A220" s="155">
        <v>2</v>
      </c>
      <c r="B220" s="161" t="s">
        <v>529</v>
      </c>
      <c r="C220" s="162" t="s">
        <v>1003</v>
      </c>
      <c r="D220" s="162" t="str">
        <f t="shared" si="3"/>
        <v>青森県深浦町</v>
      </c>
      <c r="E220" s="161">
        <v>4</v>
      </c>
      <c r="F220" s="157" t="s">
        <v>1004</v>
      </c>
    </row>
    <row r="221" spans="1:6" ht="15" customHeight="1">
      <c r="A221" s="155">
        <v>2</v>
      </c>
      <c r="B221" s="161" t="s">
        <v>529</v>
      </c>
      <c r="C221" s="162" t="s">
        <v>1005</v>
      </c>
      <c r="D221" s="162" t="str">
        <f t="shared" si="3"/>
        <v>青森県藤崎町</v>
      </c>
      <c r="E221" s="161">
        <v>3</v>
      </c>
      <c r="F221" s="157" t="s">
        <v>1006</v>
      </c>
    </row>
    <row r="222" spans="1:6" ht="15" customHeight="1">
      <c r="A222" s="155">
        <v>2</v>
      </c>
      <c r="B222" s="161" t="s">
        <v>529</v>
      </c>
      <c r="C222" s="162" t="s">
        <v>1007</v>
      </c>
      <c r="D222" s="162" t="str">
        <f t="shared" si="3"/>
        <v>青森県三沢市</v>
      </c>
      <c r="E222" s="161">
        <v>3</v>
      </c>
      <c r="F222" s="157" t="s">
        <v>1008</v>
      </c>
    </row>
    <row r="223" spans="1:6" ht="15" customHeight="1">
      <c r="A223" s="155">
        <v>2</v>
      </c>
      <c r="B223" s="161" t="s">
        <v>529</v>
      </c>
      <c r="C223" s="162" t="s">
        <v>1009</v>
      </c>
      <c r="D223" s="162" t="str">
        <f t="shared" si="3"/>
        <v>青森県むつ市</v>
      </c>
      <c r="E223" s="161">
        <v>3</v>
      </c>
      <c r="F223" s="157" t="s">
        <v>1010</v>
      </c>
    </row>
    <row r="224" spans="1:6" ht="15" customHeight="1">
      <c r="A224" s="155">
        <v>2</v>
      </c>
      <c r="B224" s="161" t="s">
        <v>529</v>
      </c>
      <c r="C224" s="162" t="s">
        <v>1011</v>
      </c>
      <c r="D224" s="162" t="str">
        <f t="shared" si="3"/>
        <v>青森県横浜町</v>
      </c>
      <c r="E224" s="161">
        <v>3</v>
      </c>
      <c r="F224" s="157" t="s">
        <v>1012</v>
      </c>
    </row>
    <row r="225" spans="1:6" ht="15" customHeight="1">
      <c r="A225" s="155">
        <v>2</v>
      </c>
      <c r="B225" s="161" t="s">
        <v>529</v>
      </c>
      <c r="C225" s="162" t="s">
        <v>1013</v>
      </c>
      <c r="D225" s="162" t="str">
        <f t="shared" si="3"/>
        <v>青森県蓬田村</v>
      </c>
      <c r="E225" s="161">
        <v>3</v>
      </c>
      <c r="F225" s="157" t="s">
        <v>1014</v>
      </c>
    </row>
    <row r="226" spans="1:6" ht="15" customHeight="1">
      <c r="A226" s="155">
        <v>2</v>
      </c>
      <c r="B226" s="161" t="s">
        <v>529</v>
      </c>
      <c r="C226" s="162" t="s">
        <v>1015</v>
      </c>
      <c r="D226" s="162" t="str">
        <f t="shared" si="3"/>
        <v>青森県六戸町</v>
      </c>
      <c r="E226" s="161">
        <v>3</v>
      </c>
      <c r="F226" s="157" t="s">
        <v>1016</v>
      </c>
    </row>
    <row r="227" spans="1:6" ht="15" customHeight="1">
      <c r="A227" s="155">
        <v>2</v>
      </c>
      <c r="B227" s="161" t="s">
        <v>529</v>
      </c>
      <c r="C227" s="162" t="s">
        <v>1017</v>
      </c>
      <c r="D227" s="162" t="str">
        <f t="shared" si="3"/>
        <v>青森県六ヶ所村</v>
      </c>
      <c r="E227" s="161">
        <v>3</v>
      </c>
      <c r="F227" s="157" t="s">
        <v>1018</v>
      </c>
    </row>
    <row r="228" spans="1:6" ht="15" customHeight="1">
      <c r="A228" s="155">
        <v>3</v>
      </c>
      <c r="B228" s="161" t="s">
        <v>1019</v>
      </c>
      <c r="C228" s="162" t="s">
        <v>1020</v>
      </c>
      <c r="D228" s="162" t="str">
        <f t="shared" si="3"/>
        <v>岩手県一関市（旧一関市、旧花泉町、旧川崎村に限る。）</v>
      </c>
      <c r="E228" s="161">
        <v>4</v>
      </c>
      <c r="F228" s="157" t="s">
        <v>1021</v>
      </c>
    </row>
    <row r="229" spans="1:6" ht="15" customHeight="1">
      <c r="A229" s="155">
        <v>3</v>
      </c>
      <c r="B229" s="161" t="s">
        <v>1019</v>
      </c>
      <c r="C229" s="162" t="s">
        <v>1022</v>
      </c>
      <c r="D229" s="162" t="str">
        <f t="shared" si="3"/>
        <v>岩手県一関市(旧大東町、旧藤沢町、旧千厩町、旧東山町、旧室根村に限る。)</v>
      </c>
      <c r="E229" s="161">
        <v>3</v>
      </c>
      <c r="F229" s="157" t="s">
        <v>1023</v>
      </c>
    </row>
    <row r="230" spans="1:6" ht="15" customHeight="1">
      <c r="A230" s="155">
        <v>3</v>
      </c>
      <c r="B230" s="161" t="s">
        <v>1019</v>
      </c>
      <c r="C230" s="162" t="s">
        <v>1024</v>
      </c>
      <c r="D230" s="162" t="str">
        <f t="shared" si="3"/>
        <v>岩手県一戸町</v>
      </c>
      <c r="E230" s="161">
        <v>3</v>
      </c>
      <c r="F230" s="157" t="s">
        <v>1025</v>
      </c>
    </row>
    <row r="231" spans="1:6" ht="15" customHeight="1">
      <c r="A231" s="155">
        <v>3</v>
      </c>
      <c r="B231" s="161" t="s">
        <v>1019</v>
      </c>
      <c r="C231" s="162" t="s">
        <v>1026</v>
      </c>
      <c r="D231" s="162" t="str">
        <f t="shared" si="3"/>
        <v>岩手県岩泉町</v>
      </c>
      <c r="E231" s="161">
        <v>3</v>
      </c>
      <c r="F231" s="157" t="s">
        <v>1027</v>
      </c>
    </row>
    <row r="232" spans="1:6" ht="15" customHeight="1">
      <c r="A232" s="155">
        <v>3</v>
      </c>
      <c r="B232" s="161" t="s">
        <v>1019</v>
      </c>
      <c r="C232" s="162" t="s">
        <v>1028</v>
      </c>
      <c r="D232" s="162" t="str">
        <f t="shared" si="3"/>
        <v>岩手県岩手町</v>
      </c>
      <c r="E232" s="161">
        <v>2</v>
      </c>
      <c r="F232" s="157" t="s">
        <v>1029</v>
      </c>
    </row>
    <row r="233" spans="1:6" ht="15" customHeight="1">
      <c r="A233" s="155">
        <v>3</v>
      </c>
      <c r="B233" s="161" t="s">
        <v>1019</v>
      </c>
      <c r="C233" s="162" t="s">
        <v>1030</v>
      </c>
      <c r="D233" s="162" t="str">
        <f t="shared" si="3"/>
        <v>岩手県奥州市</v>
      </c>
      <c r="E233" s="161">
        <v>4</v>
      </c>
      <c r="F233" s="157" t="s">
        <v>1031</v>
      </c>
    </row>
    <row r="234" spans="1:6" ht="15" customHeight="1">
      <c r="A234" s="155">
        <v>3</v>
      </c>
      <c r="B234" s="161" t="s">
        <v>1019</v>
      </c>
      <c r="C234" s="162" t="s">
        <v>1032</v>
      </c>
      <c r="D234" s="162" t="str">
        <f t="shared" si="3"/>
        <v>岩手県大槌町</v>
      </c>
      <c r="E234" s="161">
        <v>4</v>
      </c>
      <c r="F234" s="157" t="s">
        <v>1033</v>
      </c>
    </row>
    <row r="235" spans="1:6" ht="15" customHeight="1">
      <c r="A235" s="155">
        <v>3</v>
      </c>
      <c r="B235" s="161" t="s">
        <v>1019</v>
      </c>
      <c r="C235" s="162" t="s">
        <v>1034</v>
      </c>
      <c r="D235" s="162" t="str">
        <f t="shared" si="3"/>
        <v>岩手県大船渡市</v>
      </c>
      <c r="E235" s="161">
        <v>4</v>
      </c>
      <c r="F235" s="157" t="s">
        <v>1035</v>
      </c>
    </row>
    <row r="236" spans="1:6" ht="15" customHeight="1">
      <c r="A236" s="155">
        <v>3</v>
      </c>
      <c r="B236" s="161" t="s">
        <v>1019</v>
      </c>
      <c r="C236" s="162" t="s">
        <v>1036</v>
      </c>
      <c r="D236" s="162" t="str">
        <f t="shared" si="3"/>
        <v>岩手県釜石市</v>
      </c>
      <c r="E236" s="161">
        <v>4</v>
      </c>
      <c r="F236" s="157" t="s">
        <v>1037</v>
      </c>
    </row>
    <row r="237" spans="1:6" ht="15" customHeight="1">
      <c r="A237" s="155">
        <v>3</v>
      </c>
      <c r="B237" s="161" t="s">
        <v>1019</v>
      </c>
      <c r="C237" s="162" t="s">
        <v>1038</v>
      </c>
      <c r="D237" s="162" t="str">
        <f t="shared" si="3"/>
        <v>岩手県軽米町</v>
      </c>
      <c r="E237" s="161">
        <v>3</v>
      </c>
      <c r="F237" s="157" t="s">
        <v>1039</v>
      </c>
    </row>
    <row r="238" spans="1:6" ht="15" customHeight="1">
      <c r="A238" s="155">
        <v>3</v>
      </c>
      <c r="B238" s="161" t="s">
        <v>1019</v>
      </c>
      <c r="C238" s="162" t="s">
        <v>1040</v>
      </c>
      <c r="D238" s="162" t="str">
        <f t="shared" si="3"/>
        <v>岩手県北上市</v>
      </c>
      <c r="E238" s="161">
        <v>4</v>
      </c>
      <c r="F238" s="157" t="s">
        <v>1041</v>
      </c>
    </row>
    <row r="239" spans="1:6" ht="15" customHeight="1">
      <c r="A239" s="155">
        <v>3</v>
      </c>
      <c r="B239" s="161" t="s">
        <v>1019</v>
      </c>
      <c r="C239" s="162" t="s">
        <v>1042</v>
      </c>
      <c r="D239" s="162" t="str">
        <f t="shared" si="3"/>
        <v>岩手県金ケ崎町</v>
      </c>
      <c r="E239" s="161">
        <v>4</v>
      </c>
      <c r="F239" s="157" t="s">
        <v>1043</v>
      </c>
    </row>
    <row r="240" spans="1:6" ht="15" customHeight="1">
      <c r="A240" s="155">
        <v>3</v>
      </c>
      <c r="B240" s="161" t="s">
        <v>1019</v>
      </c>
      <c r="C240" s="162" t="s">
        <v>1044</v>
      </c>
      <c r="D240" s="162" t="str">
        <f t="shared" si="3"/>
        <v>岩手県久慈市</v>
      </c>
      <c r="E240" s="161">
        <v>3</v>
      </c>
      <c r="F240" s="157" t="s">
        <v>1045</v>
      </c>
    </row>
    <row r="241" spans="1:6" ht="15" customHeight="1">
      <c r="A241" s="155">
        <v>3</v>
      </c>
      <c r="B241" s="161" t="s">
        <v>1019</v>
      </c>
      <c r="C241" s="162" t="s">
        <v>1046</v>
      </c>
      <c r="D241" s="162" t="str">
        <f t="shared" si="3"/>
        <v>岩手県葛巻町</v>
      </c>
      <c r="E241" s="161">
        <v>2</v>
      </c>
      <c r="F241" s="157" t="s">
        <v>1047</v>
      </c>
    </row>
    <row r="242" spans="1:6" ht="15" customHeight="1">
      <c r="A242" s="155">
        <v>3</v>
      </c>
      <c r="B242" s="161" t="s">
        <v>1019</v>
      </c>
      <c r="C242" s="162" t="s">
        <v>1048</v>
      </c>
      <c r="D242" s="162" t="str">
        <f t="shared" si="3"/>
        <v>岩手県九戸村</v>
      </c>
      <c r="E242" s="161">
        <v>2</v>
      </c>
      <c r="F242" s="157" t="s">
        <v>1049</v>
      </c>
    </row>
    <row r="243" spans="1:6" ht="15" customHeight="1">
      <c r="A243" s="155">
        <v>3</v>
      </c>
      <c r="B243" s="161" t="s">
        <v>1019</v>
      </c>
      <c r="C243" s="162" t="s">
        <v>1050</v>
      </c>
      <c r="D243" s="162" t="str">
        <f t="shared" si="3"/>
        <v>岩手県雫石町</v>
      </c>
      <c r="E243" s="161">
        <v>3</v>
      </c>
      <c r="F243" s="157" t="s">
        <v>1051</v>
      </c>
    </row>
    <row r="244" spans="1:6" ht="15" customHeight="1">
      <c r="A244" s="155">
        <v>3</v>
      </c>
      <c r="B244" s="161" t="s">
        <v>1019</v>
      </c>
      <c r="C244" s="162" t="s">
        <v>1052</v>
      </c>
      <c r="D244" s="162" t="str">
        <f t="shared" si="3"/>
        <v>岩手県紫波町</v>
      </c>
      <c r="E244" s="161">
        <v>3</v>
      </c>
      <c r="F244" s="157" t="s">
        <v>1053</v>
      </c>
    </row>
    <row r="245" spans="1:6" ht="15" customHeight="1">
      <c r="A245" s="155">
        <v>3</v>
      </c>
      <c r="B245" s="161" t="s">
        <v>1019</v>
      </c>
      <c r="C245" s="162" t="s">
        <v>1054</v>
      </c>
      <c r="D245" s="162" t="str">
        <f t="shared" si="3"/>
        <v>岩手県住田町</v>
      </c>
      <c r="E245" s="161">
        <v>3</v>
      </c>
      <c r="F245" s="157" t="s">
        <v>1055</v>
      </c>
    </row>
    <row r="246" spans="1:6" ht="15" customHeight="1">
      <c r="A246" s="155">
        <v>3</v>
      </c>
      <c r="B246" s="161" t="s">
        <v>1019</v>
      </c>
      <c r="C246" s="162" t="s">
        <v>1056</v>
      </c>
      <c r="D246" s="162" t="str">
        <f t="shared" si="3"/>
        <v>岩手県滝沢市</v>
      </c>
      <c r="E246" s="161">
        <v>3</v>
      </c>
      <c r="F246" s="157" t="s">
        <v>1057</v>
      </c>
    </row>
    <row r="247" spans="1:6" ht="15" customHeight="1">
      <c r="A247" s="155">
        <v>3</v>
      </c>
      <c r="B247" s="161" t="s">
        <v>1019</v>
      </c>
      <c r="C247" s="162" t="s">
        <v>1058</v>
      </c>
      <c r="D247" s="162" t="str">
        <f t="shared" si="3"/>
        <v>岩手県田野畑村</v>
      </c>
      <c r="E247" s="161">
        <v>3</v>
      </c>
      <c r="F247" s="157" t="s">
        <v>1059</v>
      </c>
    </row>
    <row r="248" spans="1:6" ht="15" customHeight="1">
      <c r="A248" s="155">
        <v>3</v>
      </c>
      <c r="B248" s="161" t="s">
        <v>1019</v>
      </c>
      <c r="C248" s="162" t="s">
        <v>1060</v>
      </c>
      <c r="D248" s="162" t="str">
        <f t="shared" si="3"/>
        <v>岩手県遠野市</v>
      </c>
      <c r="E248" s="161">
        <v>3</v>
      </c>
      <c r="F248" s="157" t="s">
        <v>1061</v>
      </c>
    </row>
    <row r="249" spans="1:6" ht="15" customHeight="1">
      <c r="A249" s="155">
        <v>3</v>
      </c>
      <c r="B249" s="161" t="s">
        <v>1019</v>
      </c>
      <c r="C249" s="162" t="s">
        <v>1062</v>
      </c>
      <c r="D249" s="162" t="str">
        <f t="shared" si="3"/>
        <v>岩手県西和賀町</v>
      </c>
      <c r="E249" s="161">
        <v>2</v>
      </c>
      <c r="F249" s="157" t="s">
        <v>1063</v>
      </c>
    </row>
    <row r="250" spans="1:6" ht="15" customHeight="1">
      <c r="A250" s="155">
        <v>3</v>
      </c>
      <c r="B250" s="161" t="s">
        <v>1019</v>
      </c>
      <c r="C250" s="162" t="s">
        <v>1064</v>
      </c>
      <c r="D250" s="162" t="str">
        <f t="shared" si="3"/>
        <v>岩手県二戸市</v>
      </c>
      <c r="E250" s="161">
        <v>3</v>
      </c>
      <c r="F250" s="157" t="s">
        <v>1065</v>
      </c>
    </row>
    <row r="251" spans="1:6" ht="15" customHeight="1">
      <c r="A251" s="155">
        <v>3</v>
      </c>
      <c r="B251" s="161" t="s">
        <v>1019</v>
      </c>
      <c r="C251" s="162" t="s">
        <v>1066</v>
      </c>
      <c r="D251" s="162" t="str">
        <f t="shared" si="3"/>
        <v>岩手県野田村</v>
      </c>
      <c r="E251" s="161">
        <v>3</v>
      </c>
      <c r="F251" s="157" t="s">
        <v>1067</v>
      </c>
    </row>
    <row r="252" spans="1:6" ht="15" customHeight="1">
      <c r="A252" s="155">
        <v>3</v>
      </c>
      <c r="B252" s="161" t="s">
        <v>1019</v>
      </c>
      <c r="C252" s="162" t="s">
        <v>1068</v>
      </c>
      <c r="D252" s="162" t="str">
        <f t="shared" si="3"/>
        <v>岩手県八幡平市</v>
      </c>
      <c r="E252" s="161">
        <v>3</v>
      </c>
      <c r="F252" s="157" t="s">
        <v>1069</v>
      </c>
    </row>
    <row r="253" spans="1:6" ht="15" customHeight="1">
      <c r="A253" s="155">
        <v>3</v>
      </c>
      <c r="B253" s="161" t="s">
        <v>1019</v>
      </c>
      <c r="C253" s="162" t="s">
        <v>1070</v>
      </c>
      <c r="D253" s="162" t="str">
        <f t="shared" si="3"/>
        <v>岩手県八幡平市（旧安代町に限る。）</v>
      </c>
      <c r="E253" s="161">
        <v>2</v>
      </c>
      <c r="F253" s="157" t="s">
        <v>1071</v>
      </c>
    </row>
    <row r="254" spans="1:6" ht="15" customHeight="1">
      <c r="A254" s="155">
        <v>3</v>
      </c>
      <c r="B254" s="161" t="s">
        <v>1019</v>
      </c>
      <c r="C254" s="162" t="s">
        <v>1072</v>
      </c>
      <c r="D254" s="162" t="str">
        <f t="shared" si="3"/>
        <v>岩手県八幡平市（旧西根町、旧松尾村に限る。）</v>
      </c>
      <c r="E254" s="161">
        <v>3</v>
      </c>
      <c r="F254" s="157" t="s">
        <v>1073</v>
      </c>
    </row>
    <row r="255" spans="1:6" ht="15" customHeight="1">
      <c r="A255" s="155">
        <v>3</v>
      </c>
      <c r="B255" s="161" t="s">
        <v>1019</v>
      </c>
      <c r="C255" s="162" t="s">
        <v>1074</v>
      </c>
      <c r="D255" s="162" t="str">
        <f t="shared" si="3"/>
        <v>岩手県花巻市</v>
      </c>
      <c r="E255" s="161">
        <v>3</v>
      </c>
      <c r="F255" s="157" t="s">
        <v>1075</v>
      </c>
    </row>
    <row r="256" spans="1:6" ht="15" customHeight="1">
      <c r="A256" s="155">
        <v>3</v>
      </c>
      <c r="B256" s="161" t="s">
        <v>1019</v>
      </c>
      <c r="C256" s="162" t="s">
        <v>1076</v>
      </c>
      <c r="D256" s="162" t="str">
        <f t="shared" si="3"/>
        <v>岩手県平泉町</v>
      </c>
      <c r="E256" s="161">
        <v>4</v>
      </c>
      <c r="F256" s="157" t="s">
        <v>1077</v>
      </c>
    </row>
    <row r="257" spans="1:6" ht="15" customHeight="1">
      <c r="A257" s="155">
        <v>3</v>
      </c>
      <c r="B257" s="161" t="s">
        <v>1019</v>
      </c>
      <c r="C257" s="162" t="s">
        <v>1078</v>
      </c>
      <c r="D257" s="162" t="str">
        <f t="shared" si="3"/>
        <v>岩手県洋野町</v>
      </c>
      <c r="E257" s="161">
        <v>3</v>
      </c>
      <c r="F257" s="157" t="s">
        <v>1079</v>
      </c>
    </row>
    <row r="258" spans="1:6" ht="15" customHeight="1">
      <c r="A258" s="155">
        <v>3</v>
      </c>
      <c r="B258" s="161" t="s">
        <v>1019</v>
      </c>
      <c r="C258" s="162" t="s">
        <v>1080</v>
      </c>
      <c r="D258" s="162" t="str">
        <f t="shared" si="3"/>
        <v>岩手県普代村</v>
      </c>
      <c r="E258" s="161">
        <v>3</v>
      </c>
      <c r="F258" s="157" t="s">
        <v>1081</v>
      </c>
    </row>
    <row r="259" spans="1:6" ht="15" customHeight="1">
      <c r="A259" s="155">
        <v>3</v>
      </c>
      <c r="B259" s="161" t="s">
        <v>1019</v>
      </c>
      <c r="C259" s="162" t="s">
        <v>1082</v>
      </c>
      <c r="D259" s="162" t="str">
        <f t="shared" si="3"/>
        <v>岩手県宮古市</v>
      </c>
      <c r="E259" s="161">
        <v>4</v>
      </c>
      <c r="F259" s="157" t="s">
        <v>1083</v>
      </c>
    </row>
    <row r="260" spans="1:6" ht="15" customHeight="1">
      <c r="A260" s="155">
        <v>3</v>
      </c>
      <c r="B260" s="161" t="s">
        <v>1019</v>
      </c>
      <c r="C260" s="162" t="s">
        <v>1084</v>
      </c>
      <c r="D260" s="162" t="str">
        <f t="shared" ref="D260:D323" si="4">B260&amp;C260</f>
        <v>岩手県盛岡市</v>
      </c>
      <c r="E260" s="161">
        <v>3</v>
      </c>
      <c r="F260" s="157" t="s">
        <v>1085</v>
      </c>
    </row>
    <row r="261" spans="1:6" ht="15" customHeight="1">
      <c r="A261" s="155">
        <v>3</v>
      </c>
      <c r="B261" s="161" t="s">
        <v>1019</v>
      </c>
      <c r="C261" s="162" t="s">
        <v>1086</v>
      </c>
      <c r="D261" s="162" t="str">
        <f t="shared" si="4"/>
        <v>岩手県矢巾町</v>
      </c>
      <c r="E261" s="161">
        <v>3</v>
      </c>
      <c r="F261" s="157" t="s">
        <v>1087</v>
      </c>
    </row>
    <row r="262" spans="1:6" ht="15" customHeight="1">
      <c r="A262" s="155">
        <v>3</v>
      </c>
      <c r="B262" s="161" t="s">
        <v>1019</v>
      </c>
      <c r="C262" s="162" t="s">
        <v>1088</v>
      </c>
      <c r="D262" s="162" t="str">
        <f t="shared" si="4"/>
        <v>岩手県山田町</v>
      </c>
      <c r="E262" s="161">
        <v>4</v>
      </c>
      <c r="F262" s="157" t="s">
        <v>1089</v>
      </c>
    </row>
    <row r="263" spans="1:6" ht="15" customHeight="1">
      <c r="A263" s="155">
        <v>3</v>
      </c>
      <c r="B263" s="161" t="s">
        <v>1019</v>
      </c>
      <c r="C263" s="162" t="s">
        <v>1090</v>
      </c>
      <c r="D263" s="162" t="str">
        <f t="shared" si="4"/>
        <v>岩手県陸前高田市</v>
      </c>
      <c r="E263" s="161">
        <v>4</v>
      </c>
      <c r="F263" s="157" t="s">
        <v>1091</v>
      </c>
    </row>
    <row r="264" spans="1:6" ht="15" customHeight="1">
      <c r="A264" s="155">
        <v>4</v>
      </c>
      <c r="B264" s="161" t="s">
        <v>1092</v>
      </c>
      <c r="C264" s="162" t="s">
        <v>1093</v>
      </c>
      <c r="D264" s="162" t="str">
        <f t="shared" si="4"/>
        <v>宮城県石巻市</v>
      </c>
      <c r="E264" s="161">
        <v>4</v>
      </c>
      <c r="F264" s="157" t="s">
        <v>1094</v>
      </c>
    </row>
    <row r="265" spans="1:6" ht="15" customHeight="1">
      <c r="A265" s="155">
        <v>4</v>
      </c>
      <c r="B265" s="161" t="s">
        <v>1092</v>
      </c>
      <c r="C265" s="162" t="s">
        <v>1095</v>
      </c>
      <c r="D265" s="162" t="str">
        <f t="shared" si="4"/>
        <v>宮城県岩沼市</v>
      </c>
      <c r="E265" s="161">
        <v>4</v>
      </c>
      <c r="F265" s="157" t="s">
        <v>1096</v>
      </c>
    </row>
    <row r="266" spans="1:6" ht="15" customHeight="1">
      <c r="A266" s="155">
        <v>4</v>
      </c>
      <c r="B266" s="161" t="s">
        <v>1092</v>
      </c>
      <c r="C266" s="162" t="s">
        <v>1097</v>
      </c>
      <c r="D266" s="162" t="str">
        <f t="shared" si="4"/>
        <v>宮城県大河原町</v>
      </c>
      <c r="E266" s="161">
        <v>4</v>
      </c>
      <c r="F266" s="157" t="s">
        <v>1098</v>
      </c>
    </row>
    <row r="267" spans="1:6" ht="15" customHeight="1">
      <c r="A267" s="155">
        <v>4</v>
      </c>
      <c r="B267" s="161" t="s">
        <v>1092</v>
      </c>
      <c r="C267" s="162" t="s">
        <v>1099</v>
      </c>
      <c r="D267" s="162" t="str">
        <f t="shared" si="4"/>
        <v>宮城県大崎市</v>
      </c>
      <c r="E267" s="161">
        <v>4</v>
      </c>
      <c r="F267" s="157" t="s">
        <v>1100</v>
      </c>
    </row>
    <row r="268" spans="1:6" ht="15" customHeight="1">
      <c r="A268" s="155">
        <v>4</v>
      </c>
      <c r="B268" s="161" t="s">
        <v>1092</v>
      </c>
      <c r="C268" s="162" t="s">
        <v>1101</v>
      </c>
      <c r="D268" s="162" t="str">
        <f t="shared" si="4"/>
        <v>宮城県大郷町</v>
      </c>
      <c r="E268" s="161">
        <v>4</v>
      </c>
      <c r="F268" s="157" t="s">
        <v>1102</v>
      </c>
    </row>
    <row r="269" spans="1:6" ht="15" customHeight="1">
      <c r="A269" s="155">
        <v>4</v>
      </c>
      <c r="B269" s="161" t="s">
        <v>1092</v>
      </c>
      <c r="C269" s="162" t="s">
        <v>1103</v>
      </c>
      <c r="D269" s="162" t="str">
        <f t="shared" si="4"/>
        <v>宮城県大衡村</v>
      </c>
      <c r="E269" s="161">
        <v>4</v>
      </c>
      <c r="F269" s="157" t="s">
        <v>1104</v>
      </c>
    </row>
    <row r="270" spans="1:6" ht="15" customHeight="1">
      <c r="A270" s="155">
        <v>4</v>
      </c>
      <c r="B270" s="161" t="s">
        <v>1092</v>
      </c>
      <c r="C270" s="162" t="s">
        <v>1105</v>
      </c>
      <c r="D270" s="162" t="str">
        <f t="shared" si="4"/>
        <v>宮城県女川町</v>
      </c>
      <c r="E270" s="161">
        <v>4</v>
      </c>
      <c r="F270" s="157" t="s">
        <v>1106</v>
      </c>
    </row>
    <row r="271" spans="1:6" ht="15" customHeight="1">
      <c r="A271" s="155">
        <v>4</v>
      </c>
      <c r="B271" s="161" t="s">
        <v>1092</v>
      </c>
      <c r="C271" s="162" t="s">
        <v>1107</v>
      </c>
      <c r="D271" s="162" t="str">
        <f t="shared" si="4"/>
        <v>宮城県角田市</v>
      </c>
      <c r="E271" s="161">
        <v>4</v>
      </c>
      <c r="F271" s="157" t="s">
        <v>1108</v>
      </c>
    </row>
    <row r="272" spans="1:6" ht="15" customHeight="1">
      <c r="A272" s="155">
        <v>4</v>
      </c>
      <c r="B272" s="161" t="s">
        <v>1092</v>
      </c>
      <c r="C272" s="162" t="s">
        <v>1109</v>
      </c>
      <c r="D272" s="162" t="str">
        <f t="shared" si="4"/>
        <v>宮城県加美町</v>
      </c>
      <c r="E272" s="161">
        <v>4</v>
      </c>
      <c r="F272" s="157" t="s">
        <v>1110</v>
      </c>
    </row>
    <row r="273" spans="1:6" ht="15" customHeight="1">
      <c r="A273" s="155">
        <v>4</v>
      </c>
      <c r="B273" s="161" t="s">
        <v>1092</v>
      </c>
      <c r="C273" s="162" t="s">
        <v>1111</v>
      </c>
      <c r="D273" s="162" t="str">
        <f t="shared" si="4"/>
        <v>宮城県川崎町</v>
      </c>
      <c r="E273" s="161">
        <v>4</v>
      </c>
      <c r="F273" s="157" t="s">
        <v>1112</v>
      </c>
    </row>
    <row r="274" spans="1:6" ht="15" customHeight="1">
      <c r="A274" s="155">
        <v>4</v>
      </c>
      <c r="B274" s="161" t="s">
        <v>1092</v>
      </c>
      <c r="C274" s="162" t="s">
        <v>1113</v>
      </c>
      <c r="D274" s="162" t="str">
        <f t="shared" si="4"/>
        <v>宮城県栗原市</v>
      </c>
      <c r="E274" s="161">
        <v>4</v>
      </c>
      <c r="F274" s="157" t="s">
        <v>1114</v>
      </c>
    </row>
    <row r="275" spans="1:6" ht="15" customHeight="1">
      <c r="A275" s="155">
        <v>4</v>
      </c>
      <c r="B275" s="161" t="s">
        <v>1092</v>
      </c>
      <c r="C275" s="162" t="s">
        <v>1115</v>
      </c>
      <c r="D275" s="162" t="str">
        <f t="shared" si="4"/>
        <v>宮城県気仙沼市</v>
      </c>
      <c r="E275" s="161">
        <v>4</v>
      </c>
      <c r="F275" s="157" t="s">
        <v>1116</v>
      </c>
    </row>
    <row r="276" spans="1:6" ht="15" customHeight="1">
      <c r="A276" s="155">
        <v>4</v>
      </c>
      <c r="B276" s="161" t="s">
        <v>1092</v>
      </c>
      <c r="C276" s="162" t="s">
        <v>1117</v>
      </c>
      <c r="D276" s="162" t="str">
        <f t="shared" si="4"/>
        <v>宮城県蔵王町</v>
      </c>
      <c r="E276" s="161">
        <v>4</v>
      </c>
      <c r="F276" s="157" t="s">
        <v>1118</v>
      </c>
    </row>
    <row r="277" spans="1:6" ht="15" customHeight="1">
      <c r="A277" s="155">
        <v>4</v>
      </c>
      <c r="B277" s="161" t="s">
        <v>1092</v>
      </c>
      <c r="C277" s="162" t="s">
        <v>1119</v>
      </c>
      <c r="D277" s="162" t="str">
        <f t="shared" si="4"/>
        <v>宮城県塩竈市</v>
      </c>
      <c r="E277" s="161">
        <v>4</v>
      </c>
      <c r="F277" s="157" t="s">
        <v>1120</v>
      </c>
    </row>
    <row r="278" spans="1:6" ht="15" customHeight="1">
      <c r="A278" s="155">
        <v>4</v>
      </c>
      <c r="B278" s="161" t="s">
        <v>1092</v>
      </c>
      <c r="C278" s="162" t="s">
        <v>1121</v>
      </c>
      <c r="D278" s="162" t="str">
        <f t="shared" si="4"/>
        <v>宮城県色麻町</v>
      </c>
      <c r="E278" s="161">
        <v>4</v>
      </c>
      <c r="F278" s="157" t="s">
        <v>1122</v>
      </c>
    </row>
    <row r="279" spans="1:6" ht="15" customHeight="1">
      <c r="A279" s="155">
        <v>4</v>
      </c>
      <c r="B279" s="161" t="s">
        <v>1092</v>
      </c>
      <c r="C279" s="162" t="s">
        <v>1123</v>
      </c>
      <c r="D279" s="162" t="str">
        <f t="shared" si="4"/>
        <v>宮城県七ヶ宿町</v>
      </c>
      <c r="E279" s="161">
        <v>3</v>
      </c>
      <c r="F279" s="157" t="s">
        <v>1124</v>
      </c>
    </row>
    <row r="280" spans="1:6" ht="15" customHeight="1">
      <c r="A280" s="155">
        <v>4</v>
      </c>
      <c r="B280" s="161" t="s">
        <v>1092</v>
      </c>
      <c r="C280" s="162" t="s">
        <v>1125</v>
      </c>
      <c r="D280" s="162" t="str">
        <f t="shared" si="4"/>
        <v>宮城県七ヶ浜町</v>
      </c>
      <c r="E280" s="161">
        <v>4</v>
      </c>
      <c r="F280" s="157" t="s">
        <v>1126</v>
      </c>
    </row>
    <row r="281" spans="1:6" ht="15" customHeight="1">
      <c r="A281" s="155">
        <v>4</v>
      </c>
      <c r="B281" s="161" t="s">
        <v>1092</v>
      </c>
      <c r="C281" s="162" t="s">
        <v>1127</v>
      </c>
      <c r="D281" s="162" t="str">
        <f t="shared" si="4"/>
        <v>宮城県柴田町</v>
      </c>
      <c r="E281" s="161">
        <v>4</v>
      </c>
      <c r="F281" s="157" t="s">
        <v>1128</v>
      </c>
    </row>
    <row r="282" spans="1:6" ht="15" customHeight="1">
      <c r="A282" s="155">
        <v>4</v>
      </c>
      <c r="B282" s="161" t="s">
        <v>1092</v>
      </c>
      <c r="C282" s="162" t="s">
        <v>1129</v>
      </c>
      <c r="D282" s="162" t="str">
        <f t="shared" si="4"/>
        <v>宮城県白石市</v>
      </c>
      <c r="E282" s="161">
        <v>4</v>
      </c>
      <c r="F282" s="157" t="s">
        <v>1130</v>
      </c>
    </row>
    <row r="283" spans="1:6" ht="15" customHeight="1">
      <c r="A283" s="155">
        <v>4</v>
      </c>
      <c r="B283" s="161" t="s">
        <v>1092</v>
      </c>
      <c r="C283" s="162" t="s">
        <v>1131</v>
      </c>
      <c r="D283" s="162" t="str">
        <f t="shared" si="4"/>
        <v>宮城県仙台市</v>
      </c>
      <c r="E283" s="161">
        <v>5</v>
      </c>
      <c r="F283" s="157" t="s">
        <v>1132</v>
      </c>
    </row>
    <row r="284" spans="1:6" ht="15" customHeight="1">
      <c r="A284" s="155">
        <v>4</v>
      </c>
      <c r="B284" s="161" t="s">
        <v>1092</v>
      </c>
      <c r="C284" s="162" t="s">
        <v>1133</v>
      </c>
      <c r="D284" s="162" t="str">
        <f t="shared" si="4"/>
        <v>宮城県多賀城市</v>
      </c>
      <c r="E284" s="161">
        <v>5</v>
      </c>
      <c r="F284" s="157" t="s">
        <v>1134</v>
      </c>
    </row>
    <row r="285" spans="1:6" ht="15" customHeight="1">
      <c r="A285" s="155">
        <v>4</v>
      </c>
      <c r="B285" s="161" t="s">
        <v>1092</v>
      </c>
      <c r="C285" s="162" t="s">
        <v>1135</v>
      </c>
      <c r="D285" s="162" t="str">
        <f t="shared" si="4"/>
        <v>宮城県富谷市</v>
      </c>
      <c r="E285" s="161">
        <v>4</v>
      </c>
      <c r="F285" s="157" t="s">
        <v>1136</v>
      </c>
    </row>
    <row r="286" spans="1:6" ht="15" customHeight="1">
      <c r="A286" s="155">
        <v>4</v>
      </c>
      <c r="B286" s="161" t="s">
        <v>1092</v>
      </c>
      <c r="C286" s="162" t="s">
        <v>1137</v>
      </c>
      <c r="D286" s="162" t="str">
        <f t="shared" si="4"/>
        <v>宮城県登米市</v>
      </c>
      <c r="E286" s="161">
        <v>4</v>
      </c>
      <c r="F286" s="157" t="s">
        <v>1138</v>
      </c>
    </row>
    <row r="287" spans="1:6" ht="15" customHeight="1">
      <c r="A287" s="155">
        <v>4</v>
      </c>
      <c r="B287" s="161" t="s">
        <v>1092</v>
      </c>
      <c r="C287" s="162" t="s">
        <v>1139</v>
      </c>
      <c r="D287" s="162" t="str">
        <f t="shared" si="4"/>
        <v>宮城県名取市</v>
      </c>
      <c r="E287" s="161">
        <v>4</v>
      </c>
      <c r="F287" s="157" t="s">
        <v>1140</v>
      </c>
    </row>
    <row r="288" spans="1:6" ht="15" customHeight="1">
      <c r="A288" s="155">
        <v>4</v>
      </c>
      <c r="B288" s="161" t="s">
        <v>1092</v>
      </c>
      <c r="C288" s="162" t="s">
        <v>1141</v>
      </c>
      <c r="D288" s="162" t="str">
        <f t="shared" si="4"/>
        <v>宮城県東松島市</v>
      </c>
      <c r="E288" s="161">
        <v>4</v>
      </c>
      <c r="F288" s="157" t="s">
        <v>1142</v>
      </c>
    </row>
    <row r="289" spans="1:6" ht="15" customHeight="1">
      <c r="A289" s="155">
        <v>4</v>
      </c>
      <c r="B289" s="161" t="s">
        <v>1092</v>
      </c>
      <c r="C289" s="162" t="s">
        <v>1143</v>
      </c>
      <c r="D289" s="162" t="str">
        <f t="shared" si="4"/>
        <v>宮城県松島町</v>
      </c>
      <c r="E289" s="161">
        <v>4</v>
      </c>
      <c r="F289" s="157" t="s">
        <v>1144</v>
      </c>
    </row>
    <row r="290" spans="1:6" ht="15" customHeight="1">
      <c r="A290" s="155">
        <v>4</v>
      </c>
      <c r="B290" s="161" t="s">
        <v>1092</v>
      </c>
      <c r="C290" s="162" t="s">
        <v>1145</v>
      </c>
      <c r="D290" s="162" t="str">
        <f t="shared" si="4"/>
        <v>宮城県丸森町</v>
      </c>
      <c r="E290" s="161">
        <v>4</v>
      </c>
      <c r="F290" s="157" t="s">
        <v>1146</v>
      </c>
    </row>
    <row r="291" spans="1:6" ht="15" customHeight="1">
      <c r="A291" s="155">
        <v>4</v>
      </c>
      <c r="B291" s="161" t="s">
        <v>1092</v>
      </c>
      <c r="C291" s="162" t="s">
        <v>1147</v>
      </c>
      <c r="D291" s="162" t="str">
        <f t="shared" si="4"/>
        <v>宮城県美里町</v>
      </c>
      <c r="E291" s="161">
        <v>4</v>
      </c>
      <c r="F291" s="157" t="s">
        <v>1148</v>
      </c>
    </row>
    <row r="292" spans="1:6" ht="15" customHeight="1">
      <c r="A292" s="155">
        <v>4</v>
      </c>
      <c r="B292" s="161" t="s">
        <v>1092</v>
      </c>
      <c r="C292" s="162" t="s">
        <v>1149</v>
      </c>
      <c r="D292" s="162" t="str">
        <f t="shared" si="4"/>
        <v>宮城県南三陸町</v>
      </c>
      <c r="E292" s="161">
        <v>4</v>
      </c>
      <c r="F292" s="157" t="s">
        <v>1150</v>
      </c>
    </row>
    <row r="293" spans="1:6" ht="15" customHeight="1">
      <c r="A293" s="155">
        <v>4</v>
      </c>
      <c r="B293" s="161" t="s">
        <v>1092</v>
      </c>
      <c r="C293" s="162" t="s">
        <v>1151</v>
      </c>
      <c r="D293" s="162" t="str">
        <f t="shared" si="4"/>
        <v>宮城県村田町</v>
      </c>
      <c r="E293" s="161">
        <v>4</v>
      </c>
      <c r="F293" s="157" t="s">
        <v>1152</v>
      </c>
    </row>
    <row r="294" spans="1:6" ht="15" customHeight="1">
      <c r="A294" s="155">
        <v>4</v>
      </c>
      <c r="B294" s="161" t="s">
        <v>1092</v>
      </c>
      <c r="C294" s="162" t="s">
        <v>1153</v>
      </c>
      <c r="D294" s="162" t="str">
        <f t="shared" si="4"/>
        <v>宮城県大和町</v>
      </c>
      <c r="E294" s="161">
        <v>4</v>
      </c>
      <c r="F294" s="157" t="s">
        <v>1154</v>
      </c>
    </row>
    <row r="295" spans="1:6" ht="15" customHeight="1">
      <c r="A295" s="155">
        <v>4</v>
      </c>
      <c r="B295" s="161" t="s">
        <v>1092</v>
      </c>
      <c r="C295" s="162" t="s">
        <v>1155</v>
      </c>
      <c r="D295" s="162" t="str">
        <f t="shared" si="4"/>
        <v>宮城県山元町</v>
      </c>
      <c r="E295" s="161">
        <v>5</v>
      </c>
      <c r="F295" s="157" t="s">
        <v>1156</v>
      </c>
    </row>
    <row r="296" spans="1:6" ht="15" customHeight="1">
      <c r="A296" s="155">
        <v>4</v>
      </c>
      <c r="B296" s="161" t="s">
        <v>1092</v>
      </c>
      <c r="C296" s="162" t="s">
        <v>1157</v>
      </c>
      <c r="D296" s="162" t="str">
        <f t="shared" si="4"/>
        <v>宮城県利府町</v>
      </c>
      <c r="E296" s="161">
        <v>4</v>
      </c>
      <c r="F296" s="157" t="s">
        <v>1158</v>
      </c>
    </row>
    <row r="297" spans="1:6" ht="15" customHeight="1">
      <c r="A297" s="155">
        <v>4</v>
      </c>
      <c r="B297" s="161" t="s">
        <v>1092</v>
      </c>
      <c r="C297" s="162" t="s">
        <v>1159</v>
      </c>
      <c r="D297" s="162" t="str">
        <f t="shared" si="4"/>
        <v>宮城県涌谷町</v>
      </c>
      <c r="E297" s="161">
        <v>4</v>
      </c>
      <c r="F297" s="157" t="s">
        <v>1160</v>
      </c>
    </row>
    <row r="298" spans="1:6" ht="15" customHeight="1">
      <c r="A298" s="155">
        <v>4</v>
      </c>
      <c r="B298" s="161" t="s">
        <v>1092</v>
      </c>
      <c r="C298" s="162" t="s">
        <v>1161</v>
      </c>
      <c r="D298" s="162" t="str">
        <f t="shared" si="4"/>
        <v>宮城県亘理町</v>
      </c>
      <c r="E298" s="161">
        <v>4</v>
      </c>
      <c r="F298" s="157" t="s">
        <v>1162</v>
      </c>
    </row>
    <row r="299" spans="1:6" ht="15" customHeight="1">
      <c r="A299" s="155">
        <v>5</v>
      </c>
      <c r="B299" s="161" t="s">
        <v>1163</v>
      </c>
      <c r="C299" s="162" t="s">
        <v>1164</v>
      </c>
      <c r="D299" s="162" t="str">
        <f t="shared" si="4"/>
        <v>秋田県秋田市</v>
      </c>
      <c r="E299" s="161">
        <v>4</v>
      </c>
      <c r="F299" s="157" t="s">
        <v>1165</v>
      </c>
    </row>
    <row r="300" spans="1:6" ht="15" customHeight="1">
      <c r="A300" s="155">
        <v>5</v>
      </c>
      <c r="B300" s="161" t="s">
        <v>1163</v>
      </c>
      <c r="C300" s="162" t="s">
        <v>1166</v>
      </c>
      <c r="D300" s="162" t="str">
        <f t="shared" si="4"/>
        <v>秋田県井川町</v>
      </c>
      <c r="E300" s="161">
        <v>4</v>
      </c>
      <c r="F300" s="157" t="s">
        <v>1167</v>
      </c>
    </row>
    <row r="301" spans="1:6" ht="15" customHeight="1">
      <c r="A301" s="155">
        <v>5</v>
      </c>
      <c r="B301" s="161" t="s">
        <v>1163</v>
      </c>
      <c r="C301" s="162" t="s">
        <v>1168</v>
      </c>
      <c r="D301" s="162" t="str">
        <f t="shared" si="4"/>
        <v>秋田県羽後町</v>
      </c>
      <c r="E301" s="161">
        <v>3</v>
      </c>
      <c r="F301" s="157" t="s">
        <v>1169</v>
      </c>
    </row>
    <row r="302" spans="1:6" ht="15" customHeight="1">
      <c r="A302" s="155">
        <v>5</v>
      </c>
      <c r="B302" s="161" t="s">
        <v>1163</v>
      </c>
      <c r="C302" s="162" t="s">
        <v>1170</v>
      </c>
      <c r="D302" s="162" t="str">
        <f t="shared" si="4"/>
        <v>秋田県大潟村</v>
      </c>
      <c r="E302" s="161">
        <v>4</v>
      </c>
      <c r="F302" s="157" t="s">
        <v>1171</v>
      </c>
    </row>
    <row r="303" spans="1:6" ht="15" customHeight="1">
      <c r="A303" s="155">
        <v>5</v>
      </c>
      <c r="B303" s="161" t="s">
        <v>1163</v>
      </c>
      <c r="C303" s="162" t="s">
        <v>1172</v>
      </c>
      <c r="D303" s="162" t="str">
        <f t="shared" si="4"/>
        <v>秋田県大館市</v>
      </c>
      <c r="E303" s="161">
        <v>3</v>
      </c>
      <c r="F303" s="157" t="s">
        <v>1173</v>
      </c>
    </row>
    <row r="304" spans="1:6" ht="15" customHeight="1">
      <c r="A304" s="155">
        <v>5</v>
      </c>
      <c r="B304" s="161" t="s">
        <v>1163</v>
      </c>
      <c r="C304" s="162" t="s">
        <v>1174</v>
      </c>
      <c r="D304" s="162" t="str">
        <f t="shared" si="4"/>
        <v>秋田県男鹿市</v>
      </c>
      <c r="E304" s="161">
        <v>4</v>
      </c>
      <c r="F304" s="157" t="s">
        <v>1175</v>
      </c>
    </row>
    <row r="305" spans="1:6" ht="15" customHeight="1">
      <c r="A305" s="155">
        <v>5</v>
      </c>
      <c r="B305" s="161" t="s">
        <v>1163</v>
      </c>
      <c r="C305" s="162" t="s">
        <v>1176</v>
      </c>
      <c r="D305" s="162" t="str">
        <f t="shared" si="4"/>
        <v>秋田県潟上市</v>
      </c>
      <c r="E305" s="161">
        <v>4</v>
      </c>
      <c r="F305" s="157" t="s">
        <v>1177</v>
      </c>
    </row>
    <row r="306" spans="1:6" ht="15" customHeight="1">
      <c r="A306" s="155">
        <v>5</v>
      </c>
      <c r="B306" s="161" t="s">
        <v>1163</v>
      </c>
      <c r="C306" s="162" t="s">
        <v>1178</v>
      </c>
      <c r="D306" s="162" t="str">
        <f t="shared" si="4"/>
        <v>秋田県鹿角市</v>
      </c>
      <c r="E306" s="161">
        <v>3</v>
      </c>
      <c r="F306" s="157" t="s">
        <v>1179</v>
      </c>
    </row>
    <row r="307" spans="1:6" ht="15" customHeight="1">
      <c r="A307" s="155">
        <v>5</v>
      </c>
      <c r="B307" s="161" t="s">
        <v>1163</v>
      </c>
      <c r="C307" s="162" t="s">
        <v>1180</v>
      </c>
      <c r="D307" s="162" t="str">
        <f t="shared" si="4"/>
        <v>秋田県上小阿仁村</v>
      </c>
      <c r="E307" s="161">
        <v>3</v>
      </c>
      <c r="F307" s="157" t="s">
        <v>1181</v>
      </c>
    </row>
    <row r="308" spans="1:6" ht="15" customHeight="1">
      <c r="A308" s="155">
        <v>5</v>
      </c>
      <c r="B308" s="161" t="s">
        <v>1163</v>
      </c>
      <c r="C308" s="162" t="s">
        <v>1182</v>
      </c>
      <c r="D308" s="162" t="str">
        <f t="shared" si="4"/>
        <v>秋田県北秋田市</v>
      </c>
      <c r="E308" s="161">
        <v>3</v>
      </c>
      <c r="F308" s="157" t="s">
        <v>1183</v>
      </c>
    </row>
    <row r="309" spans="1:6" ht="15" customHeight="1">
      <c r="A309" s="155">
        <v>5</v>
      </c>
      <c r="B309" s="161" t="s">
        <v>1163</v>
      </c>
      <c r="C309" s="162" t="s">
        <v>1184</v>
      </c>
      <c r="D309" s="162" t="str">
        <f t="shared" si="4"/>
        <v>秋田県小坂町</v>
      </c>
      <c r="E309" s="161">
        <v>2</v>
      </c>
      <c r="F309" s="157" t="s">
        <v>1185</v>
      </c>
    </row>
    <row r="310" spans="1:6" ht="15" customHeight="1">
      <c r="A310" s="155">
        <v>5</v>
      </c>
      <c r="B310" s="161" t="s">
        <v>1163</v>
      </c>
      <c r="C310" s="162" t="s">
        <v>1186</v>
      </c>
      <c r="D310" s="162" t="str">
        <f t="shared" si="4"/>
        <v>秋田県五城目町</v>
      </c>
      <c r="E310" s="161">
        <v>4</v>
      </c>
      <c r="F310" s="157" t="s">
        <v>1187</v>
      </c>
    </row>
    <row r="311" spans="1:6" ht="15" customHeight="1">
      <c r="A311" s="155">
        <v>5</v>
      </c>
      <c r="B311" s="161" t="s">
        <v>1163</v>
      </c>
      <c r="C311" s="162" t="s">
        <v>1188</v>
      </c>
      <c r="D311" s="162" t="str">
        <f t="shared" si="4"/>
        <v>秋田県仙北市</v>
      </c>
      <c r="E311" s="161">
        <v>3</v>
      </c>
      <c r="F311" s="157" t="s">
        <v>1189</v>
      </c>
    </row>
    <row r="312" spans="1:6" ht="15" customHeight="1">
      <c r="A312" s="155">
        <v>5</v>
      </c>
      <c r="B312" s="161" t="s">
        <v>1163</v>
      </c>
      <c r="C312" s="162" t="s">
        <v>1190</v>
      </c>
      <c r="D312" s="162" t="str">
        <f t="shared" si="4"/>
        <v>秋田県大仙市</v>
      </c>
      <c r="E312" s="161">
        <v>3</v>
      </c>
      <c r="F312" s="157" t="s">
        <v>1191</v>
      </c>
    </row>
    <row r="313" spans="1:6" ht="15" customHeight="1">
      <c r="A313" s="155">
        <v>5</v>
      </c>
      <c r="B313" s="161" t="s">
        <v>1163</v>
      </c>
      <c r="C313" s="162" t="s">
        <v>1192</v>
      </c>
      <c r="D313" s="162" t="str">
        <f t="shared" si="4"/>
        <v>秋田県にかほ市</v>
      </c>
      <c r="E313" s="161">
        <v>5</v>
      </c>
      <c r="F313" s="157" t="s">
        <v>1193</v>
      </c>
    </row>
    <row r="314" spans="1:6" ht="15" customHeight="1">
      <c r="A314" s="155">
        <v>5</v>
      </c>
      <c r="B314" s="161" t="s">
        <v>1163</v>
      </c>
      <c r="C314" s="162" t="s">
        <v>1194</v>
      </c>
      <c r="D314" s="162" t="str">
        <f t="shared" si="4"/>
        <v>秋田県能代市(旧能代市に限る。)</v>
      </c>
      <c r="E314" s="161">
        <v>4</v>
      </c>
      <c r="F314" s="157" t="s">
        <v>1195</v>
      </c>
    </row>
    <row r="315" spans="1:6" ht="15" customHeight="1">
      <c r="A315" s="155">
        <v>5</v>
      </c>
      <c r="B315" s="161" t="s">
        <v>1163</v>
      </c>
      <c r="C315" s="162" t="s">
        <v>1196</v>
      </c>
      <c r="D315" s="162" t="str">
        <f t="shared" si="4"/>
        <v>秋田県能代市(旧二ツ井町に限る。)</v>
      </c>
      <c r="E315" s="161">
        <v>3</v>
      </c>
      <c r="F315" s="157" t="s">
        <v>1197</v>
      </c>
    </row>
    <row r="316" spans="1:6" ht="15" customHeight="1">
      <c r="A316" s="155">
        <v>5</v>
      </c>
      <c r="B316" s="161" t="s">
        <v>1163</v>
      </c>
      <c r="C316" s="162" t="s">
        <v>1198</v>
      </c>
      <c r="D316" s="162" t="str">
        <f t="shared" si="4"/>
        <v>秋田県八郎潟町</v>
      </c>
      <c r="E316" s="161">
        <v>4</v>
      </c>
      <c r="F316" s="157" t="s">
        <v>1199</v>
      </c>
    </row>
    <row r="317" spans="1:6" ht="15" customHeight="1">
      <c r="A317" s="155">
        <v>5</v>
      </c>
      <c r="B317" s="161" t="s">
        <v>1163</v>
      </c>
      <c r="C317" s="162" t="s">
        <v>1200</v>
      </c>
      <c r="D317" s="162" t="str">
        <f t="shared" si="4"/>
        <v>秋田県八峰町</v>
      </c>
      <c r="E317" s="161">
        <v>4</v>
      </c>
      <c r="F317" s="157" t="s">
        <v>1201</v>
      </c>
    </row>
    <row r="318" spans="1:6" ht="15" customHeight="1">
      <c r="A318" s="155">
        <v>5</v>
      </c>
      <c r="B318" s="161" t="s">
        <v>1163</v>
      </c>
      <c r="C318" s="162" t="s">
        <v>1202</v>
      </c>
      <c r="D318" s="162" t="str">
        <f t="shared" si="4"/>
        <v>秋田県東成瀬村</v>
      </c>
      <c r="E318" s="161">
        <v>3</v>
      </c>
      <c r="F318" s="157" t="s">
        <v>1203</v>
      </c>
    </row>
    <row r="319" spans="1:6" ht="15" customHeight="1">
      <c r="A319" s="155">
        <v>5</v>
      </c>
      <c r="B319" s="161" t="s">
        <v>1163</v>
      </c>
      <c r="C319" s="162" t="s">
        <v>1204</v>
      </c>
      <c r="D319" s="162" t="str">
        <f t="shared" si="4"/>
        <v>秋田県藤里町</v>
      </c>
      <c r="E319" s="161">
        <v>3</v>
      </c>
      <c r="F319" s="157" t="s">
        <v>1205</v>
      </c>
    </row>
    <row r="320" spans="1:6" ht="15" customHeight="1">
      <c r="A320" s="155">
        <v>5</v>
      </c>
      <c r="B320" s="161" t="s">
        <v>1163</v>
      </c>
      <c r="C320" s="162" t="s">
        <v>1206</v>
      </c>
      <c r="D320" s="162" t="str">
        <f t="shared" si="4"/>
        <v>秋田県美郷町</v>
      </c>
      <c r="E320" s="161">
        <v>3</v>
      </c>
      <c r="F320" s="157" t="s">
        <v>1148</v>
      </c>
    </row>
    <row r="321" spans="1:6" ht="15" customHeight="1">
      <c r="A321" s="155">
        <v>5</v>
      </c>
      <c r="B321" s="161" t="s">
        <v>1163</v>
      </c>
      <c r="C321" s="162" t="s">
        <v>1207</v>
      </c>
      <c r="D321" s="162" t="str">
        <f t="shared" si="4"/>
        <v>秋田県三種町</v>
      </c>
      <c r="E321" s="161">
        <v>4</v>
      </c>
      <c r="F321" s="157" t="s">
        <v>1208</v>
      </c>
    </row>
    <row r="322" spans="1:6" ht="15" customHeight="1">
      <c r="A322" s="155">
        <v>5</v>
      </c>
      <c r="B322" s="161" t="s">
        <v>1163</v>
      </c>
      <c r="C322" s="162" t="s">
        <v>1209</v>
      </c>
      <c r="D322" s="162" t="str">
        <f t="shared" si="4"/>
        <v>秋田県湯沢市</v>
      </c>
      <c r="E322" s="161">
        <v>3</v>
      </c>
      <c r="F322" s="157" t="s">
        <v>1210</v>
      </c>
    </row>
    <row r="323" spans="1:6" ht="15" customHeight="1">
      <c r="A323" s="155">
        <v>5</v>
      </c>
      <c r="B323" s="161" t="s">
        <v>1163</v>
      </c>
      <c r="C323" s="162" t="s">
        <v>1211</v>
      </c>
      <c r="D323" s="162" t="str">
        <f t="shared" si="4"/>
        <v>秋田県由利本荘市</v>
      </c>
      <c r="E323" s="161">
        <v>4</v>
      </c>
      <c r="F323" s="157" t="s">
        <v>1212</v>
      </c>
    </row>
    <row r="324" spans="1:6" ht="15" customHeight="1">
      <c r="A324" s="155">
        <v>5</v>
      </c>
      <c r="B324" s="161" t="s">
        <v>1163</v>
      </c>
      <c r="C324" s="162" t="s">
        <v>1213</v>
      </c>
      <c r="D324" s="162" t="str">
        <f t="shared" ref="D324:D387" si="5">B324&amp;C324</f>
        <v>秋田県横手市</v>
      </c>
      <c r="E324" s="161">
        <v>3</v>
      </c>
      <c r="F324" s="157" t="s">
        <v>1214</v>
      </c>
    </row>
    <row r="325" spans="1:6" ht="15" customHeight="1">
      <c r="A325" s="155">
        <v>6</v>
      </c>
      <c r="B325" s="161" t="s">
        <v>1215</v>
      </c>
      <c r="C325" s="162" t="s">
        <v>1216</v>
      </c>
      <c r="D325" s="162" t="str">
        <f t="shared" si="5"/>
        <v>山形県朝日町</v>
      </c>
      <c r="E325" s="161">
        <v>3</v>
      </c>
      <c r="F325" s="157" t="s">
        <v>1217</v>
      </c>
    </row>
    <row r="326" spans="1:6" ht="15" customHeight="1">
      <c r="A326" s="155">
        <v>6</v>
      </c>
      <c r="B326" s="161" t="s">
        <v>1215</v>
      </c>
      <c r="C326" s="162" t="s">
        <v>1218</v>
      </c>
      <c r="D326" s="162" t="str">
        <f t="shared" si="5"/>
        <v>山形県飯豊町</v>
      </c>
      <c r="E326" s="161">
        <v>3</v>
      </c>
      <c r="F326" s="157" t="s">
        <v>1219</v>
      </c>
    </row>
    <row r="327" spans="1:6" ht="15" customHeight="1">
      <c r="A327" s="155">
        <v>6</v>
      </c>
      <c r="B327" s="161" t="s">
        <v>1215</v>
      </c>
      <c r="C327" s="162" t="s">
        <v>1220</v>
      </c>
      <c r="D327" s="162" t="str">
        <f t="shared" si="5"/>
        <v>山形県大石田町</v>
      </c>
      <c r="E327" s="161">
        <v>3</v>
      </c>
      <c r="F327" s="157" t="s">
        <v>1221</v>
      </c>
    </row>
    <row r="328" spans="1:6" ht="15" customHeight="1">
      <c r="A328" s="155">
        <v>6</v>
      </c>
      <c r="B328" s="161" t="s">
        <v>1215</v>
      </c>
      <c r="C328" s="162" t="s">
        <v>1222</v>
      </c>
      <c r="D328" s="162" t="str">
        <f t="shared" si="5"/>
        <v>山形県大江町</v>
      </c>
      <c r="E328" s="161">
        <v>3</v>
      </c>
      <c r="F328" s="157" t="s">
        <v>1223</v>
      </c>
    </row>
    <row r="329" spans="1:6" ht="15" customHeight="1">
      <c r="A329" s="155">
        <v>6</v>
      </c>
      <c r="B329" s="161" t="s">
        <v>1215</v>
      </c>
      <c r="C329" s="162" t="s">
        <v>1224</v>
      </c>
      <c r="D329" s="162" t="str">
        <f t="shared" si="5"/>
        <v>山形県大蔵村</v>
      </c>
      <c r="E329" s="161">
        <v>4</v>
      </c>
      <c r="F329" s="157" t="s">
        <v>1225</v>
      </c>
    </row>
    <row r="330" spans="1:6" ht="15" customHeight="1">
      <c r="A330" s="155">
        <v>6</v>
      </c>
      <c r="B330" s="161" t="s">
        <v>1215</v>
      </c>
      <c r="C330" s="162" t="s">
        <v>1226</v>
      </c>
      <c r="D330" s="162" t="str">
        <f t="shared" si="5"/>
        <v>山形県小国町</v>
      </c>
      <c r="E330" s="161">
        <v>3</v>
      </c>
      <c r="F330" s="157" t="s">
        <v>1227</v>
      </c>
    </row>
    <row r="331" spans="1:6" ht="15" customHeight="1">
      <c r="A331" s="155">
        <v>6</v>
      </c>
      <c r="B331" s="161" t="s">
        <v>1215</v>
      </c>
      <c r="C331" s="162" t="s">
        <v>1228</v>
      </c>
      <c r="D331" s="162" t="str">
        <f t="shared" si="5"/>
        <v>山形県尾花沢市</v>
      </c>
      <c r="E331" s="161">
        <v>3</v>
      </c>
      <c r="F331" s="157" t="s">
        <v>1229</v>
      </c>
    </row>
    <row r="332" spans="1:6" ht="15" customHeight="1">
      <c r="A332" s="155">
        <v>6</v>
      </c>
      <c r="B332" s="161" t="s">
        <v>1215</v>
      </c>
      <c r="C332" s="162" t="s">
        <v>1230</v>
      </c>
      <c r="D332" s="162" t="str">
        <f t="shared" si="5"/>
        <v>山形県金山町</v>
      </c>
      <c r="E332" s="161">
        <v>3</v>
      </c>
      <c r="F332" s="157" t="s">
        <v>1231</v>
      </c>
    </row>
    <row r="333" spans="1:6" ht="15" customHeight="1">
      <c r="A333" s="155">
        <v>6</v>
      </c>
      <c r="B333" s="161" t="s">
        <v>1215</v>
      </c>
      <c r="C333" s="162" t="s">
        <v>1232</v>
      </c>
      <c r="D333" s="162" t="str">
        <f t="shared" si="5"/>
        <v>山形県河北町</v>
      </c>
      <c r="E333" s="161">
        <v>4</v>
      </c>
      <c r="F333" s="157" t="s">
        <v>1233</v>
      </c>
    </row>
    <row r="334" spans="1:6" ht="15" customHeight="1">
      <c r="A334" s="155">
        <v>6</v>
      </c>
      <c r="B334" s="161" t="s">
        <v>1215</v>
      </c>
      <c r="C334" s="162" t="s">
        <v>1234</v>
      </c>
      <c r="D334" s="162" t="str">
        <f t="shared" si="5"/>
        <v>山形県上山市</v>
      </c>
      <c r="E334" s="161">
        <v>4</v>
      </c>
      <c r="F334" s="157" t="s">
        <v>1235</v>
      </c>
    </row>
    <row r="335" spans="1:6" ht="15" customHeight="1">
      <c r="A335" s="155">
        <v>6</v>
      </c>
      <c r="B335" s="161" t="s">
        <v>1215</v>
      </c>
      <c r="C335" s="162" t="s">
        <v>1236</v>
      </c>
      <c r="D335" s="162" t="str">
        <f t="shared" si="5"/>
        <v>山形県川西町</v>
      </c>
      <c r="E335" s="161">
        <v>3</v>
      </c>
      <c r="F335" s="157" t="s">
        <v>1237</v>
      </c>
    </row>
    <row r="336" spans="1:6" ht="15" customHeight="1">
      <c r="A336" s="155">
        <v>6</v>
      </c>
      <c r="B336" s="161" t="s">
        <v>1215</v>
      </c>
      <c r="C336" s="162" t="s">
        <v>1238</v>
      </c>
      <c r="D336" s="162" t="str">
        <f t="shared" si="5"/>
        <v>山形県寒河江市</v>
      </c>
      <c r="E336" s="161">
        <v>4</v>
      </c>
      <c r="F336" s="157" t="s">
        <v>1239</v>
      </c>
    </row>
    <row r="337" spans="1:6" ht="15" customHeight="1">
      <c r="A337" s="155">
        <v>6</v>
      </c>
      <c r="B337" s="161" t="s">
        <v>1215</v>
      </c>
      <c r="C337" s="162" t="s">
        <v>1240</v>
      </c>
      <c r="D337" s="162" t="str">
        <f t="shared" si="5"/>
        <v>山形県酒田市（旧酒田市に限る。）</v>
      </c>
      <c r="E337" s="161">
        <v>5</v>
      </c>
      <c r="F337" s="157" t="s">
        <v>1241</v>
      </c>
    </row>
    <row r="338" spans="1:6" ht="15" customHeight="1">
      <c r="A338" s="155">
        <v>6</v>
      </c>
      <c r="B338" s="161" t="s">
        <v>1215</v>
      </c>
      <c r="C338" s="162" t="s">
        <v>1242</v>
      </c>
      <c r="D338" s="162" t="str">
        <f t="shared" si="5"/>
        <v>山形県酒田市（旧八幡町、旧松山町、旧平田町に限る。）</v>
      </c>
      <c r="E338" s="161">
        <v>4</v>
      </c>
      <c r="F338" s="157" t="s">
        <v>1243</v>
      </c>
    </row>
    <row r="339" spans="1:6" ht="15" customHeight="1">
      <c r="A339" s="155">
        <v>6</v>
      </c>
      <c r="B339" s="161" t="s">
        <v>1215</v>
      </c>
      <c r="C339" s="162" t="s">
        <v>1244</v>
      </c>
      <c r="D339" s="162" t="str">
        <f t="shared" si="5"/>
        <v>山形県鮭川村</v>
      </c>
      <c r="E339" s="161">
        <v>3</v>
      </c>
      <c r="F339" s="157" t="s">
        <v>1245</v>
      </c>
    </row>
    <row r="340" spans="1:6" ht="15" customHeight="1">
      <c r="A340" s="155">
        <v>6</v>
      </c>
      <c r="B340" s="161" t="s">
        <v>1215</v>
      </c>
      <c r="C340" s="162" t="s">
        <v>1246</v>
      </c>
      <c r="D340" s="162" t="str">
        <f t="shared" si="5"/>
        <v>山形県庄内町</v>
      </c>
      <c r="E340" s="161">
        <v>4</v>
      </c>
      <c r="F340" s="157" t="s">
        <v>1247</v>
      </c>
    </row>
    <row r="341" spans="1:6" ht="15" customHeight="1">
      <c r="A341" s="155">
        <v>6</v>
      </c>
      <c r="B341" s="161" t="s">
        <v>1215</v>
      </c>
      <c r="C341" s="162" t="s">
        <v>1248</v>
      </c>
      <c r="D341" s="162" t="str">
        <f t="shared" si="5"/>
        <v>山形県白鷹町</v>
      </c>
      <c r="E341" s="161">
        <v>4</v>
      </c>
      <c r="F341" s="157" t="s">
        <v>1249</v>
      </c>
    </row>
    <row r="342" spans="1:6" ht="15" customHeight="1">
      <c r="A342" s="155">
        <v>6</v>
      </c>
      <c r="B342" s="161" t="s">
        <v>1215</v>
      </c>
      <c r="C342" s="162" t="s">
        <v>1250</v>
      </c>
      <c r="D342" s="162" t="str">
        <f t="shared" si="5"/>
        <v>山形県新庄市</v>
      </c>
      <c r="E342" s="161">
        <v>3</v>
      </c>
      <c r="F342" s="157" t="s">
        <v>1251</v>
      </c>
    </row>
    <row r="343" spans="1:6" ht="15" customHeight="1">
      <c r="A343" s="155">
        <v>6</v>
      </c>
      <c r="B343" s="161" t="s">
        <v>1215</v>
      </c>
      <c r="C343" s="162" t="s">
        <v>1252</v>
      </c>
      <c r="D343" s="162" t="str">
        <f t="shared" si="5"/>
        <v>山形県高畠町</v>
      </c>
      <c r="E343" s="161">
        <v>3</v>
      </c>
      <c r="F343" s="157" t="s">
        <v>1253</v>
      </c>
    </row>
    <row r="344" spans="1:6" ht="15" customHeight="1">
      <c r="A344" s="155">
        <v>6</v>
      </c>
      <c r="B344" s="161" t="s">
        <v>1215</v>
      </c>
      <c r="C344" s="162" t="s">
        <v>1254</v>
      </c>
      <c r="D344" s="162" t="str">
        <f t="shared" si="5"/>
        <v>山形県中山町</v>
      </c>
      <c r="E344" s="161">
        <v>4</v>
      </c>
      <c r="F344" s="157" t="s">
        <v>1255</v>
      </c>
    </row>
    <row r="345" spans="1:6" ht="15" customHeight="1">
      <c r="A345" s="155">
        <v>6</v>
      </c>
      <c r="B345" s="161" t="s">
        <v>1215</v>
      </c>
      <c r="C345" s="162" t="s">
        <v>1256</v>
      </c>
      <c r="D345" s="162" t="str">
        <f t="shared" si="5"/>
        <v>山形県鶴岡市</v>
      </c>
      <c r="E345" s="161">
        <v>4</v>
      </c>
      <c r="F345" s="157" t="s">
        <v>1257</v>
      </c>
    </row>
    <row r="346" spans="1:6" ht="15" customHeight="1">
      <c r="A346" s="155">
        <v>6</v>
      </c>
      <c r="B346" s="161" t="s">
        <v>1215</v>
      </c>
      <c r="C346" s="162" t="s">
        <v>1258</v>
      </c>
      <c r="D346" s="162" t="str">
        <f t="shared" si="5"/>
        <v>山形県天童市</v>
      </c>
      <c r="E346" s="161">
        <v>4</v>
      </c>
      <c r="F346" s="157" t="s">
        <v>1259</v>
      </c>
    </row>
    <row r="347" spans="1:6" ht="15" customHeight="1">
      <c r="A347" s="155">
        <v>6</v>
      </c>
      <c r="B347" s="161" t="s">
        <v>1215</v>
      </c>
      <c r="C347" s="162" t="s">
        <v>1260</v>
      </c>
      <c r="D347" s="162" t="str">
        <f t="shared" si="5"/>
        <v>山形県戸沢村</v>
      </c>
      <c r="E347" s="161">
        <v>3</v>
      </c>
      <c r="F347" s="157" t="s">
        <v>1261</v>
      </c>
    </row>
    <row r="348" spans="1:6" ht="15" customHeight="1">
      <c r="A348" s="155">
        <v>6</v>
      </c>
      <c r="B348" s="161" t="s">
        <v>1215</v>
      </c>
      <c r="C348" s="162" t="s">
        <v>1262</v>
      </c>
      <c r="D348" s="162" t="str">
        <f t="shared" si="5"/>
        <v>山形県長井市</v>
      </c>
      <c r="E348" s="161">
        <v>3</v>
      </c>
      <c r="F348" s="157" t="s">
        <v>1263</v>
      </c>
    </row>
    <row r="349" spans="1:6" ht="15" customHeight="1">
      <c r="A349" s="155">
        <v>6</v>
      </c>
      <c r="B349" s="161" t="s">
        <v>1215</v>
      </c>
      <c r="C349" s="162" t="s">
        <v>1264</v>
      </c>
      <c r="D349" s="162" t="str">
        <f t="shared" si="5"/>
        <v>山形県南陽市</v>
      </c>
      <c r="E349" s="161">
        <v>3</v>
      </c>
      <c r="F349" s="157" t="s">
        <v>1265</v>
      </c>
    </row>
    <row r="350" spans="1:6" ht="15" customHeight="1">
      <c r="A350" s="155">
        <v>6</v>
      </c>
      <c r="B350" s="161" t="s">
        <v>1215</v>
      </c>
      <c r="C350" s="162" t="s">
        <v>1266</v>
      </c>
      <c r="D350" s="162" t="str">
        <f t="shared" si="5"/>
        <v>山形県西川町</v>
      </c>
      <c r="E350" s="161">
        <v>3</v>
      </c>
      <c r="F350" s="157" t="s">
        <v>1267</v>
      </c>
    </row>
    <row r="351" spans="1:6" ht="15" customHeight="1">
      <c r="A351" s="155">
        <v>6</v>
      </c>
      <c r="B351" s="161" t="s">
        <v>1215</v>
      </c>
      <c r="C351" s="162" t="s">
        <v>1268</v>
      </c>
      <c r="D351" s="162" t="str">
        <f t="shared" si="5"/>
        <v>山形県東根市</v>
      </c>
      <c r="E351" s="161">
        <v>4</v>
      </c>
      <c r="F351" s="157" t="s">
        <v>1269</v>
      </c>
    </row>
    <row r="352" spans="1:6" ht="15" customHeight="1">
      <c r="A352" s="155">
        <v>6</v>
      </c>
      <c r="B352" s="161" t="s">
        <v>1215</v>
      </c>
      <c r="C352" s="162" t="s">
        <v>1270</v>
      </c>
      <c r="D352" s="162" t="str">
        <f t="shared" si="5"/>
        <v>山形県舟形町</v>
      </c>
      <c r="E352" s="161">
        <v>3</v>
      </c>
      <c r="F352" s="157" t="s">
        <v>1271</v>
      </c>
    </row>
    <row r="353" spans="1:6" ht="15" customHeight="1">
      <c r="A353" s="155">
        <v>6</v>
      </c>
      <c r="B353" s="161" t="s">
        <v>1215</v>
      </c>
      <c r="C353" s="162" t="s">
        <v>1272</v>
      </c>
      <c r="D353" s="162" t="str">
        <f t="shared" si="5"/>
        <v>山形県真室川町</v>
      </c>
      <c r="E353" s="161">
        <v>3</v>
      </c>
      <c r="F353" s="157" t="s">
        <v>1273</v>
      </c>
    </row>
    <row r="354" spans="1:6" ht="15" customHeight="1">
      <c r="A354" s="155">
        <v>6</v>
      </c>
      <c r="B354" s="161" t="s">
        <v>1215</v>
      </c>
      <c r="C354" s="162" t="s">
        <v>1274</v>
      </c>
      <c r="D354" s="162" t="str">
        <f t="shared" si="5"/>
        <v>山形県三川町</v>
      </c>
      <c r="E354" s="161">
        <v>4</v>
      </c>
      <c r="F354" s="157" t="s">
        <v>1275</v>
      </c>
    </row>
    <row r="355" spans="1:6" ht="15" customHeight="1">
      <c r="A355" s="155">
        <v>6</v>
      </c>
      <c r="B355" s="161" t="s">
        <v>1215</v>
      </c>
      <c r="C355" s="162" t="s">
        <v>1276</v>
      </c>
      <c r="D355" s="162" t="str">
        <f t="shared" si="5"/>
        <v>山形県村山市</v>
      </c>
      <c r="E355" s="161">
        <v>4</v>
      </c>
      <c r="F355" s="157" t="s">
        <v>1277</v>
      </c>
    </row>
    <row r="356" spans="1:6" ht="15" customHeight="1">
      <c r="A356" s="155">
        <v>6</v>
      </c>
      <c r="B356" s="161" t="s">
        <v>1215</v>
      </c>
      <c r="C356" s="162" t="s">
        <v>1278</v>
      </c>
      <c r="D356" s="162" t="str">
        <f t="shared" si="5"/>
        <v>山形県最上町</v>
      </c>
      <c r="E356" s="161">
        <v>3</v>
      </c>
      <c r="F356" s="157" t="s">
        <v>1279</v>
      </c>
    </row>
    <row r="357" spans="1:6" ht="15" customHeight="1">
      <c r="A357" s="155">
        <v>6</v>
      </c>
      <c r="B357" s="161" t="s">
        <v>1215</v>
      </c>
      <c r="C357" s="162" t="s">
        <v>1280</v>
      </c>
      <c r="D357" s="162" t="str">
        <f t="shared" si="5"/>
        <v>山形県山形市</v>
      </c>
      <c r="E357" s="161">
        <v>4</v>
      </c>
      <c r="F357" s="157" t="s">
        <v>1281</v>
      </c>
    </row>
    <row r="358" spans="1:6" ht="15" customHeight="1">
      <c r="A358" s="155">
        <v>6</v>
      </c>
      <c r="B358" s="161" t="s">
        <v>1215</v>
      </c>
      <c r="C358" s="162" t="s">
        <v>1282</v>
      </c>
      <c r="D358" s="162" t="str">
        <f t="shared" si="5"/>
        <v>山形県山辺町</v>
      </c>
      <c r="E358" s="161">
        <v>4</v>
      </c>
      <c r="F358" s="157" t="s">
        <v>1283</v>
      </c>
    </row>
    <row r="359" spans="1:6" ht="15" customHeight="1">
      <c r="A359" s="155">
        <v>6</v>
      </c>
      <c r="B359" s="161" t="s">
        <v>1215</v>
      </c>
      <c r="C359" s="162" t="s">
        <v>1284</v>
      </c>
      <c r="D359" s="162" t="str">
        <f t="shared" si="5"/>
        <v>山形県遊佐町</v>
      </c>
      <c r="E359" s="161">
        <v>4</v>
      </c>
      <c r="F359" s="157" t="s">
        <v>1285</v>
      </c>
    </row>
    <row r="360" spans="1:6" ht="15" customHeight="1">
      <c r="A360" s="155">
        <v>6</v>
      </c>
      <c r="B360" s="161" t="s">
        <v>1215</v>
      </c>
      <c r="C360" s="162" t="s">
        <v>1286</v>
      </c>
      <c r="D360" s="162" t="str">
        <f t="shared" si="5"/>
        <v>山形県米沢市</v>
      </c>
      <c r="E360" s="161">
        <v>4</v>
      </c>
      <c r="F360" s="157" t="s">
        <v>1287</v>
      </c>
    </row>
    <row r="361" spans="1:6" ht="15" customHeight="1">
      <c r="A361" s="155">
        <v>7</v>
      </c>
      <c r="B361" s="161" t="s">
        <v>1288</v>
      </c>
      <c r="C361" s="162" t="s">
        <v>1289</v>
      </c>
      <c r="D361" s="162" t="str">
        <f t="shared" si="5"/>
        <v>福島県会津坂下町</v>
      </c>
      <c r="E361" s="161">
        <v>4</v>
      </c>
      <c r="F361" s="168" t="str">
        <f t="shared" ref="F361:F421" si="6">PHONETIC(C361)</f>
        <v>アイヅバンゲマチ</v>
      </c>
    </row>
    <row r="362" spans="1:6" ht="15" customHeight="1">
      <c r="A362" s="155">
        <v>7</v>
      </c>
      <c r="B362" s="161" t="s">
        <v>1288</v>
      </c>
      <c r="C362" s="162" t="s">
        <v>1290</v>
      </c>
      <c r="D362" s="162" t="str">
        <f t="shared" si="5"/>
        <v>福島県会津美里町</v>
      </c>
      <c r="E362" s="161">
        <v>4</v>
      </c>
      <c r="F362" s="168" t="str">
        <f t="shared" si="6"/>
        <v>アイヅミサトマチ</v>
      </c>
    </row>
    <row r="363" spans="1:6" ht="15" customHeight="1">
      <c r="A363" s="155">
        <v>7</v>
      </c>
      <c r="B363" s="161" t="s">
        <v>1288</v>
      </c>
      <c r="C363" s="162" t="s">
        <v>1291</v>
      </c>
      <c r="D363" s="162" t="str">
        <f t="shared" si="5"/>
        <v>福島県会津若松市</v>
      </c>
      <c r="E363" s="161">
        <v>4</v>
      </c>
      <c r="F363" s="168" t="str">
        <f t="shared" si="6"/>
        <v>アイヅワカマツシ</v>
      </c>
    </row>
    <row r="364" spans="1:6" ht="15" customHeight="1">
      <c r="A364" s="155">
        <v>7</v>
      </c>
      <c r="B364" s="161" t="s">
        <v>1288</v>
      </c>
      <c r="C364" s="162" t="s">
        <v>1292</v>
      </c>
      <c r="D364" s="162" t="str">
        <f t="shared" si="5"/>
        <v>福島県浅川町</v>
      </c>
      <c r="E364" s="161">
        <v>4</v>
      </c>
      <c r="F364" s="168" t="str">
        <f t="shared" si="6"/>
        <v>アサカワマチ</v>
      </c>
    </row>
    <row r="365" spans="1:6" ht="15" customHeight="1">
      <c r="A365" s="155">
        <v>7</v>
      </c>
      <c r="B365" s="161" t="s">
        <v>1288</v>
      </c>
      <c r="C365" s="162" t="s">
        <v>1293</v>
      </c>
      <c r="D365" s="162" t="str">
        <f t="shared" si="5"/>
        <v>福島県飯舘村</v>
      </c>
      <c r="E365" s="161">
        <v>3</v>
      </c>
      <c r="F365" s="168" t="str">
        <f t="shared" si="6"/>
        <v>イイタテムラ</v>
      </c>
    </row>
    <row r="366" spans="1:6" ht="15" customHeight="1">
      <c r="A366" s="155">
        <v>7</v>
      </c>
      <c r="B366" s="161" t="s">
        <v>1288</v>
      </c>
      <c r="C366" s="162" t="s">
        <v>1294</v>
      </c>
      <c r="D366" s="162" t="str">
        <f t="shared" si="5"/>
        <v>福島県石川町</v>
      </c>
      <c r="E366" s="161">
        <v>4</v>
      </c>
      <c r="F366" s="168" t="str">
        <f t="shared" si="6"/>
        <v>イシカワチョウ</v>
      </c>
    </row>
    <row r="367" spans="1:6" ht="15" customHeight="1">
      <c r="A367" s="155">
        <v>7</v>
      </c>
      <c r="B367" s="161" t="s">
        <v>1288</v>
      </c>
      <c r="C367" s="162" t="s">
        <v>1295</v>
      </c>
      <c r="D367" s="162" t="str">
        <f t="shared" si="5"/>
        <v>福島県泉崎村</v>
      </c>
      <c r="E367" s="161">
        <v>4</v>
      </c>
      <c r="F367" s="168" t="str">
        <f t="shared" si="6"/>
        <v>イズミザキムラ</v>
      </c>
    </row>
    <row r="368" spans="1:6" ht="15" customHeight="1">
      <c r="A368" s="155">
        <v>7</v>
      </c>
      <c r="B368" s="161" t="s">
        <v>1288</v>
      </c>
      <c r="C368" s="162" t="s">
        <v>1296</v>
      </c>
      <c r="D368" s="162" t="str">
        <f t="shared" si="5"/>
        <v>福島県猪苗代町</v>
      </c>
      <c r="E368" s="161">
        <v>3</v>
      </c>
      <c r="F368" s="168" t="str">
        <f t="shared" si="6"/>
        <v>イナワシロマチ</v>
      </c>
    </row>
    <row r="369" spans="1:6" ht="15" customHeight="1">
      <c r="A369" s="155">
        <v>7</v>
      </c>
      <c r="B369" s="161" t="s">
        <v>1288</v>
      </c>
      <c r="C369" s="162" t="s">
        <v>1297</v>
      </c>
      <c r="D369" s="162" t="str">
        <f t="shared" si="5"/>
        <v>福島県いわき市</v>
      </c>
      <c r="E369" s="161">
        <v>5</v>
      </c>
      <c r="F369" s="168" t="str">
        <f t="shared" si="6"/>
        <v>イワキシ</v>
      </c>
    </row>
    <row r="370" spans="1:6" ht="15" customHeight="1">
      <c r="A370" s="155">
        <v>7</v>
      </c>
      <c r="B370" s="161" t="s">
        <v>1288</v>
      </c>
      <c r="C370" s="162" t="s">
        <v>1298</v>
      </c>
      <c r="D370" s="162" t="str">
        <f t="shared" si="5"/>
        <v>福島県大熊町</v>
      </c>
      <c r="E370" s="161">
        <v>5</v>
      </c>
      <c r="F370" s="168" t="str">
        <f t="shared" si="6"/>
        <v>オオクママチ</v>
      </c>
    </row>
    <row r="371" spans="1:6" ht="15" customHeight="1">
      <c r="A371" s="155">
        <v>7</v>
      </c>
      <c r="B371" s="161" t="s">
        <v>1288</v>
      </c>
      <c r="C371" s="162" t="s">
        <v>1299</v>
      </c>
      <c r="D371" s="162" t="str">
        <f t="shared" si="5"/>
        <v>福島県大玉村</v>
      </c>
      <c r="E371" s="161">
        <v>4</v>
      </c>
      <c r="F371" s="168" t="str">
        <f t="shared" si="6"/>
        <v>オオタマムラ</v>
      </c>
    </row>
    <row r="372" spans="1:6" ht="15" customHeight="1">
      <c r="A372" s="155">
        <v>7</v>
      </c>
      <c r="B372" s="161" t="s">
        <v>1288</v>
      </c>
      <c r="C372" s="162" t="s">
        <v>1300</v>
      </c>
      <c r="D372" s="162" t="str">
        <f t="shared" si="5"/>
        <v>福島県鏡石町</v>
      </c>
      <c r="E372" s="161">
        <v>4</v>
      </c>
      <c r="F372" s="168" t="str">
        <f t="shared" si="6"/>
        <v>カガミイシマチ</v>
      </c>
    </row>
    <row r="373" spans="1:6" ht="15" customHeight="1">
      <c r="A373" s="155">
        <v>7</v>
      </c>
      <c r="B373" s="161" t="s">
        <v>1288</v>
      </c>
      <c r="C373" s="162" t="s">
        <v>1301</v>
      </c>
      <c r="D373" s="162" t="str">
        <f t="shared" si="5"/>
        <v>福島県葛尾村</v>
      </c>
      <c r="E373" s="161">
        <v>3</v>
      </c>
      <c r="F373" s="168" t="str">
        <f t="shared" si="6"/>
        <v>カツラオムラ</v>
      </c>
    </row>
    <row r="374" spans="1:6" ht="15" customHeight="1">
      <c r="A374" s="155">
        <v>7</v>
      </c>
      <c r="B374" s="161" t="s">
        <v>1288</v>
      </c>
      <c r="C374" s="162" t="s">
        <v>1302</v>
      </c>
      <c r="D374" s="162" t="str">
        <f t="shared" si="5"/>
        <v>福島県金山町</v>
      </c>
      <c r="E374" s="161">
        <v>3</v>
      </c>
      <c r="F374" s="168" t="str">
        <f t="shared" si="6"/>
        <v>カナヤマチョウ</v>
      </c>
    </row>
    <row r="375" spans="1:6" ht="15" customHeight="1">
      <c r="A375" s="155">
        <v>7</v>
      </c>
      <c r="B375" s="161" t="s">
        <v>1288</v>
      </c>
      <c r="C375" s="162" t="s">
        <v>1303</v>
      </c>
      <c r="D375" s="162" t="str">
        <f t="shared" si="5"/>
        <v>福島県川内村</v>
      </c>
      <c r="E375" s="161">
        <v>3</v>
      </c>
      <c r="F375" s="168" t="str">
        <f t="shared" si="6"/>
        <v>カワウチムラ</v>
      </c>
    </row>
    <row r="376" spans="1:6" ht="15" customHeight="1">
      <c r="A376" s="155">
        <v>7</v>
      </c>
      <c r="B376" s="161" t="s">
        <v>1288</v>
      </c>
      <c r="C376" s="162" t="s">
        <v>1304</v>
      </c>
      <c r="D376" s="162" t="str">
        <f t="shared" si="5"/>
        <v>福島県川俣町</v>
      </c>
      <c r="E376" s="161">
        <v>4</v>
      </c>
      <c r="F376" s="168" t="str">
        <f t="shared" si="6"/>
        <v>カワマタマチ</v>
      </c>
    </row>
    <row r="377" spans="1:6" ht="15" customHeight="1">
      <c r="A377" s="155">
        <v>7</v>
      </c>
      <c r="B377" s="161" t="s">
        <v>1288</v>
      </c>
      <c r="C377" s="162" t="s">
        <v>1305</v>
      </c>
      <c r="D377" s="162" t="str">
        <f t="shared" si="5"/>
        <v>福島県喜多方市</v>
      </c>
      <c r="E377" s="161">
        <v>4</v>
      </c>
      <c r="F377" s="168" t="str">
        <f t="shared" si="6"/>
        <v>キタカタシ</v>
      </c>
    </row>
    <row r="378" spans="1:6" ht="15" customHeight="1">
      <c r="A378" s="155">
        <v>7</v>
      </c>
      <c r="B378" s="161" t="s">
        <v>1288</v>
      </c>
      <c r="C378" s="162" t="s">
        <v>1306</v>
      </c>
      <c r="D378" s="162" t="str">
        <f t="shared" si="5"/>
        <v>福島県北塩原村</v>
      </c>
      <c r="E378" s="161">
        <v>3</v>
      </c>
      <c r="F378" s="168" t="str">
        <f t="shared" si="6"/>
        <v>キタシオバラムラ</v>
      </c>
    </row>
    <row r="379" spans="1:6" ht="15" customHeight="1">
      <c r="A379" s="155">
        <v>7</v>
      </c>
      <c r="B379" s="161" t="s">
        <v>1288</v>
      </c>
      <c r="C379" s="162" t="s">
        <v>1307</v>
      </c>
      <c r="D379" s="162" t="str">
        <f t="shared" si="5"/>
        <v>福島県国見町</v>
      </c>
      <c r="E379" s="161">
        <v>4</v>
      </c>
      <c r="F379" s="168" t="str">
        <f t="shared" si="6"/>
        <v>クニミマチ</v>
      </c>
    </row>
    <row r="380" spans="1:6" ht="15" customHeight="1">
      <c r="A380" s="155">
        <v>7</v>
      </c>
      <c r="B380" s="161" t="s">
        <v>1288</v>
      </c>
      <c r="C380" s="162" t="s">
        <v>1308</v>
      </c>
      <c r="D380" s="162" t="str">
        <f t="shared" si="5"/>
        <v>福島県広野町</v>
      </c>
      <c r="E380" s="161">
        <v>5</v>
      </c>
      <c r="F380" s="168" t="str">
        <f t="shared" si="6"/>
        <v>コウノチョウ</v>
      </c>
    </row>
    <row r="381" spans="1:6" ht="15" customHeight="1">
      <c r="A381" s="155">
        <v>7</v>
      </c>
      <c r="B381" s="161" t="s">
        <v>1288</v>
      </c>
      <c r="C381" s="162" t="s">
        <v>1309</v>
      </c>
      <c r="D381" s="162" t="str">
        <f t="shared" si="5"/>
        <v>福島県桑折町</v>
      </c>
      <c r="E381" s="161">
        <v>4</v>
      </c>
      <c r="F381" s="168" t="str">
        <f t="shared" si="6"/>
        <v>コオリマチ</v>
      </c>
    </row>
    <row r="382" spans="1:6" ht="15" customHeight="1">
      <c r="A382" s="155">
        <v>7</v>
      </c>
      <c r="B382" s="161" t="s">
        <v>1288</v>
      </c>
      <c r="C382" s="162" t="s">
        <v>1310</v>
      </c>
      <c r="D382" s="162" t="str">
        <f t="shared" si="5"/>
        <v>福島県郡山市</v>
      </c>
      <c r="E382" s="161">
        <v>5</v>
      </c>
      <c r="F382" s="168" t="str">
        <f t="shared" si="6"/>
        <v>コオリヤマシ</v>
      </c>
    </row>
    <row r="383" spans="1:6" ht="15" customHeight="1">
      <c r="A383" s="155">
        <v>7</v>
      </c>
      <c r="B383" s="161" t="s">
        <v>1288</v>
      </c>
      <c r="C383" s="162" t="s">
        <v>1311</v>
      </c>
      <c r="D383" s="162" t="str">
        <f t="shared" si="5"/>
        <v>福島県小野町</v>
      </c>
      <c r="E383" s="161">
        <v>3</v>
      </c>
      <c r="F383" s="168" t="str">
        <f t="shared" si="6"/>
        <v>コノチョウ</v>
      </c>
    </row>
    <row r="384" spans="1:6" ht="15" customHeight="1">
      <c r="A384" s="155">
        <v>7</v>
      </c>
      <c r="B384" s="161" t="s">
        <v>1288</v>
      </c>
      <c r="C384" s="162" t="s">
        <v>1312</v>
      </c>
      <c r="D384" s="162" t="str">
        <f t="shared" si="5"/>
        <v>福島県西郷村</v>
      </c>
      <c r="E384" s="161">
        <v>4</v>
      </c>
      <c r="F384" s="168" t="str">
        <f t="shared" si="6"/>
        <v>サイゴウムラ</v>
      </c>
    </row>
    <row r="385" spans="1:6" ht="15" customHeight="1">
      <c r="A385" s="155">
        <v>7</v>
      </c>
      <c r="B385" s="161" t="s">
        <v>1288</v>
      </c>
      <c r="C385" s="162" t="s">
        <v>1313</v>
      </c>
      <c r="D385" s="162" t="str">
        <f t="shared" si="5"/>
        <v>福島県鮫川村</v>
      </c>
      <c r="E385" s="161">
        <v>3</v>
      </c>
      <c r="F385" s="168" t="str">
        <f t="shared" si="6"/>
        <v>サメガワムラ</v>
      </c>
    </row>
    <row r="386" spans="1:6" ht="15" customHeight="1">
      <c r="A386" s="155">
        <v>7</v>
      </c>
      <c r="B386" s="161" t="s">
        <v>1288</v>
      </c>
      <c r="C386" s="162" t="s">
        <v>1314</v>
      </c>
      <c r="D386" s="162" t="str">
        <f t="shared" si="5"/>
        <v>福島県下郷町</v>
      </c>
      <c r="E386" s="161">
        <v>3</v>
      </c>
      <c r="F386" s="168" t="str">
        <f t="shared" si="6"/>
        <v>シモゴウマチ</v>
      </c>
    </row>
    <row r="387" spans="1:6" ht="15" customHeight="1">
      <c r="A387" s="155">
        <v>7</v>
      </c>
      <c r="B387" s="161" t="s">
        <v>1288</v>
      </c>
      <c r="C387" s="162" t="s">
        <v>1315</v>
      </c>
      <c r="D387" s="162" t="str">
        <f t="shared" si="5"/>
        <v>福島県昭和村</v>
      </c>
      <c r="E387" s="161">
        <v>3</v>
      </c>
      <c r="F387" s="168" t="str">
        <f t="shared" si="6"/>
        <v>ショウワムラ</v>
      </c>
    </row>
    <row r="388" spans="1:6" ht="15" customHeight="1">
      <c r="A388" s="155">
        <v>7</v>
      </c>
      <c r="B388" s="161" t="s">
        <v>1288</v>
      </c>
      <c r="C388" s="162" t="s">
        <v>1316</v>
      </c>
      <c r="D388" s="162" t="str">
        <f t="shared" ref="D388:D451" si="7">B388&amp;C388</f>
        <v>福島県白河市</v>
      </c>
      <c r="E388" s="161">
        <v>4</v>
      </c>
      <c r="F388" s="168" t="str">
        <f t="shared" si="6"/>
        <v>シラカワシ</v>
      </c>
    </row>
    <row r="389" spans="1:6" ht="15" customHeight="1">
      <c r="A389" s="155">
        <v>7</v>
      </c>
      <c r="B389" s="161" t="s">
        <v>1288</v>
      </c>
      <c r="C389" s="162" t="s">
        <v>1317</v>
      </c>
      <c r="D389" s="162" t="str">
        <f t="shared" si="7"/>
        <v>福島県新地町</v>
      </c>
      <c r="E389" s="161">
        <v>5</v>
      </c>
      <c r="F389" s="168" t="str">
        <f t="shared" si="6"/>
        <v>シンチマチ</v>
      </c>
    </row>
    <row r="390" spans="1:6" ht="15" customHeight="1">
      <c r="A390" s="155">
        <v>7</v>
      </c>
      <c r="B390" s="161" t="s">
        <v>1288</v>
      </c>
      <c r="C390" s="162" t="s">
        <v>1318</v>
      </c>
      <c r="D390" s="162" t="str">
        <f t="shared" si="7"/>
        <v>福島県須賀川市</v>
      </c>
      <c r="E390" s="161">
        <v>4</v>
      </c>
      <c r="F390" s="168" t="str">
        <f t="shared" si="6"/>
        <v>スカガワシ</v>
      </c>
    </row>
    <row r="391" spans="1:6" ht="15" customHeight="1">
      <c r="A391" s="155">
        <v>7</v>
      </c>
      <c r="B391" s="161" t="s">
        <v>1288</v>
      </c>
      <c r="C391" s="162" t="s">
        <v>1319</v>
      </c>
      <c r="D391" s="162" t="str">
        <f t="shared" si="7"/>
        <v>福島県相馬市</v>
      </c>
      <c r="E391" s="161">
        <v>5</v>
      </c>
      <c r="F391" s="168" t="str">
        <f t="shared" si="6"/>
        <v>ソウマシ</v>
      </c>
    </row>
    <row r="392" spans="1:6" ht="15" customHeight="1">
      <c r="A392" s="155">
        <v>7</v>
      </c>
      <c r="B392" s="161" t="s">
        <v>1288</v>
      </c>
      <c r="C392" s="162" t="s">
        <v>1320</v>
      </c>
      <c r="D392" s="162" t="str">
        <f t="shared" si="7"/>
        <v>福島県只見町</v>
      </c>
      <c r="E392" s="161">
        <v>3</v>
      </c>
      <c r="F392" s="168" t="str">
        <f t="shared" si="6"/>
        <v>タダミマチ</v>
      </c>
    </row>
    <row r="393" spans="1:6" ht="15" customHeight="1">
      <c r="A393" s="155">
        <v>7</v>
      </c>
      <c r="B393" s="161" t="s">
        <v>1288</v>
      </c>
      <c r="C393" s="162" t="s">
        <v>1321</v>
      </c>
      <c r="D393" s="162" t="str">
        <f t="shared" si="7"/>
        <v>福島県伊達市</v>
      </c>
      <c r="E393" s="161">
        <v>4</v>
      </c>
      <c r="F393" s="168" t="str">
        <f t="shared" si="6"/>
        <v>ダテシ</v>
      </c>
    </row>
    <row r="394" spans="1:6" ht="15" customHeight="1">
      <c r="A394" s="155">
        <v>7</v>
      </c>
      <c r="B394" s="161" t="s">
        <v>1288</v>
      </c>
      <c r="C394" s="162" t="s">
        <v>1322</v>
      </c>
      <c r="D394" s="162" t="str">
        <f t="shared" si="7"/>
        <v>福島県棚倉町</v>
      </c>
      <c r="E394" s="161">
        <v>4</v>
      </c>
      <c r="F394" s="168" t="str">
        <f t="shared" si="6"/>
        <v>タナグラマチ</v>
      </c>
    </row>
    <row r="395" spans="1:6" ht="15" customHeight="1">
      <c r="A395" s="155">
        <v>7</v>
      </c>
      <c r="B395" s="161" t="s">
        <v>1288</v>
      </c>
      <c r="C395" s="162" t="s">
        <v>1323</v>
      </c>
      <c r="D395" s="162" t="str">
        <f t="shared" si="7"/>
        <v>福島県玉川村</v>
      </c>
      <c r="E395" s="161">
        <v>4</v>
      </c>
      <c r="F395" s="168" t="str">
        <f t="shared" si="6"/>
        <v>タマガワムラ</v>
      </c>
    </row>
    <row r="396" spans="1:6" ht="15" customHeight="1">
      <c r="A396" s="155">
        <v>7</v>
      </c>
      <c r="B396" s="161" t="s">
        <v>1288</v>
      </c>
      <c r="C396" s="162" t="s">
        <v>1324</v>
      </c>
      <c r="D396" s="162" t="str">
        <f t="shared" si="7"/>
        <v>福島県田村市</v>
      </c>
      <c r="E396" s="161">
        <v>4</v>
      </c>
      <c r="F396" s="168" t="str">
        <f t="shared" si="6"/>
        <v>タムラシ</v>
      </c>
    </row>
    <row r="397" spans="1:6" ht="15" customHeight="1">
      <c r="A397" s="155">
        <v>7</v>
      </c>
      <c r="B397" s="161" t="s">
        <v>1288</v>
      </c>
      <c r="C397" s="162" t="s">
        <v>1325</v>
      </c>
      <c r="D397" s="162" t="str">
        <f t="shared" si="7"/>
        <v>福島県天栄村</v>
      </c>
      <c r="E397" s="161">
        <v>4</v>
      </c>
      <c r="F397" s="168" t="str">
        <f t="shared" si="6"/>
        <v>テンエイムラ</v>
      </c>
    </row>
    <row r="398" spans="1:6" ht="15" customHeight="1">
      <c r="A398" s="155">
        <v>7</v>
      </c>
      <c r="B398" s="161" t="s">
        <v>1288</v>
      </c>
      <c r="C398" s="162" t="s">
        <v>1326</v>
      </c>
      <c r="D398" s="162" t="str">
        <f t="shared" si="7"/>
        <v>福島県富岡町</v>
      </c>
      <c r="E398" s="161">
        <v>5</v>
      </c>
      <c r="F398" s="168" t="str">
        <f t="shared" si="6"/>
        <v>トミオカマチ</v>
      </c>
    </row>
    <row r="399" spans="1:6" ht="15" customHeight="1">
      <c r="A399" s="155">
        <v>7</v>
      </c>
      <c r="B399" s="161" t="s">
        <v>1288</v>
      </c>
      <c r="C399" s="162" t="s">
        <v>1327</v>
      </c>
      <c r="D399" s="162" t="str">
        <f t="shared" si="7"/>
        <v>福島県中島村</v>
      </c>
      <c r="E399" s="161">
        <v>4</v>
      </c>
      <c r="F399" s="168" t="str">
        <f t="shared" si="6"/>
        <v>ナカジマムラ</v>
      </c>
    </row>
    <row r="400" spans="1:6" ht="15" customHeight="1">
      <c r="A400" s="155">
        <v>7</v>
      </c>
      <c r="B400" s="161" t="s">
        <v>1288</v>
      </c>
      <c r="C400" s="162" t="s">
        <v>1328</v>
      </c>
      <c r="D400" s="162" t="str">
        <f t="shared" si="7"/>
        <v>福島県浪江町</v>
      </c>
      <c r="E400" s="161">
        <v>5</v>
      </c>
      <c r="F400" s="168" t="str">
        <f t="shared" si="6"/>
        <v>ナミエマチ</v>
      </c>
    </row>
    <row r="401" spans="1:6" ht="15" customHeight="1">
      <c r="A401" s="155">
        <v>7</v>
      </c>
      <c r="B401" s="161" t="s">
        <v>1288</v>
      </c>
      <c r="C401" s="162" t="s">
        <v>1329</v>
      </c>
      <c r="D401" s="162" t="str">
        <f t="shared" si="7"/>
        <v>福島県楢葉町</v>
      </c>
      <c r="E401" s="161">
        <v>5</v>
      </c>
      <c r="F401" s="168" t="str">
        <f t="shared" si="6"/>
        <v>ナラハマチ</v>
      </c>
    </row>
    <row r="402" spans="1:6" ht="15" customHeight="1">
      <c r="A402" s="155">
        <v>7</v>
      </c>
      <c r="B402" s="161" t="s">
        <v>1288</v>
      </c>
      <c r="C402" s="162" t="s">
        <v>1330</v>
      </c>
      <c r="D402" s="162" t="str">
        <f t="shared" si="7"/>
        <v>福島県西会津町</v>
      </c>
      <c r="E402" s="161">
        <v>4</v>
      </c>
      <c r="F402" s="168" t="str">
        <f t="shared" si="6"/>
        <v>ニシアイヅマチ</v>
      </c>
    </row>
    <row r="403" spans="1:6" ht="15" customHeight="1">
      <c r="A403" s="155">
        <v>7</v>
      </c>
      <c r="B403" s="161" t="s">
        <v>1288</v>
      </c>
      <c r="C403" s="162" t="s">
        <v>1331</v>
      </c>
      <c r="D403" s="162" t="str">
        <f t="shared" si="7"/>
        <v>福島県二本松市（旧東和町に限る。）</v>
      </c>
      <c r="E403" s="161">
        <v>3</v>
      </c>
      <c r="F403" s="168" t="str">
        <f t="shared" si="6"/>
        <v>ニホンマツシ（キュウトウワチョウニカギル。）</v>
      </c>
    </row>
    <row r="404" spans="1:6" ht="15" customHeight="1">
      <c r="A404" s="155">
        <v>7</v>
      </c>
      <c r="B404" s="161" t="s">
        <v>1288</v>
      </c>
      <c r="C404" s="162" t="s">
        <v>1332</v>
      </c>
      <c r="D404" s="162" t="str">
        <f t="shared" si="7"/>
        <v>福島県二本松市（旧二本松市、旧安達町、旧岩代町に限る。）</v>
      </c>
      <c r="E404" s="161">
        <v>4</v>
      </c>
      <c r="F404" s="168" t="str">
        <f t="shared" si="6"/>
        <v>ニホンマツシ（キュウニホンマツシ、キュウアダチマチ、キュウイワシロマチニカギル。）</v>
      </c>
    </row>
    <row r="405" spans="1:6" ht="15" customHeight="1">
      <c r="A405" s="155">
        <v>7</v>
      </c>
      <c r="B405" s="161" t="s">
        <v>1288</v>
      </c>
      <c r="C405" s="162" t="s">
        <v>1333</v>
      </c>
      <c r="D405" s="162" t="str">
        <f t="shared" si="7"/>
        <v>福島県塙町</v>
      </c>
      <c r="E405" s="161">
        <v>4</v>
      </c>
      <c r="F405" s="168" t="str">
        <f t="shared" si="6"/>
        <v>ハナワマチ</v>
      </c>
    </row>
    <row r="406" spans="1:6" ht="15" customHeight="1">
      <c r="A406" s="155">
        <v>7</v>
      </c>
      <c r="B406" s="161" t="s">
        <v>1288</v>
      </c>
      <c r="C406" s="162" t="s">
        <v>1334</v>
      </c>
      <c r="D406" s="162" t="str">
        <f t="shared" si="7"/>
        <v>福島県磐梯町</v>
      </c>
      <c r="E406" s="161">
        <v>3</v>
      </c>
      <c r="F406" s="168" t="str">
        <f t="shared" si="6"/>
        <v>バンダイマチ</v>
      </c>
    </row>
    <row r="407" spans="1:6" ht="15" customHeight="1">
      <c r="A407" s="155">
        <v>7</v>
      </c>
      <c r="B407" s="161" t="s">
        <v>1288</v>
      </c>
      <c r="C407" s="162" t="s">
        <v>1335</v>
      </c>
      <c r="D407" s="162" t="str">
        <f t="shared" si="7"/>
        <v>福島県檜枝岐村</v>
      </c>
      <c r="E407" s="161">
        <v>2</v>
      </c>
      <c r="F407" s="168" t="str">
        <f t="shared" si="6"/>
        <v>ヒノエマタムラ</v>
      </c>
    </row>
    <row r="408" spans="1:6" ht="15" customHeight="1">
      <c r="A408" s="155">
        <v>7</v>
      </c>
      <c r="B408" s="161" t="s">
        <v>1288</v>
      </c>
      <c r="C408" s="162" t="s">
        <v>1336</v>
      </c>
      <c r="D408" s="162" t="str">
        <f t="shared" si="7"/>
        <v>福島県平田村</v>
      </c>
      <c r="E408" s="161">
        <v>3</v>
      </c>
      <c r="F408" s="168" t="str">
        <f t="shared" si="6"/>
        <v>ヒラタムラ</v>
      </c>
    </row>
    <row r="409" spans="1:6" ht="15" customHeight="1">
      <c r="A409" s="155">
        <v>7</v>
      </c>
      <c r="B409" s="161" t="s">
        <v>1288</v>
      </c>
      <c r="C409" s="162" t="s">
        <v>1337</v>
      </c>
      <c r="D409" s="162" t="str">
        <f t="shared" si="7"/>
        <v>福島県福島市</v>
      </c>
      <c r="E409" s="161">
        <v>5</v>
      </c>
      <c r="F409" s="168" t="str">
        <f t="shared" si="6"/>
        <v>フクシマシ</v>
      </c>
    </row>
    <row r="410" spans="1:6" ht="15" customHeight="1">
      <c r="A410" s="155">
        <v>7</v>
      </c>
      <c r="B410" s="161" t="s">
        <v>1288</v>
      </c>
      <c r="C410" s="162" t="s">
        <v>1338</v>
      </c>
      <c r="D410" s="162" t="str">
        <f t="shared" si="7"/>
        <v>福島県双葉町</v>
      </c>
      <c r="E410" s="161">
        <v>5</v>
      </c>
      <c r="F410" s="168" t="str">
        <f t="shared" si="6"/>
        <v>フタバマチ</v>
      </c>
    </row>
    <row r="411" spans="1:6" ht="15" customHeight="1">
      <c r="A411" s="155">
        <v>7</v>
      </c>
      <c r="B411" s="161" t="s">
        <v>1288</v>
      </c>
      <c r="C411" s="162" t="s">
        <v>1339</v>
      </c>
      <c r="D411" s="162" t="str">
        <f t="shared" si="7"/>
        <v>福島県古殿町</v>
      </c>
      <c r="E411" s="161">
        <v>4</v>
      </c>
      <c r="F411" s="168" t="str">
        <f t="shared" si="6"/>
        <v>フルドノマチ</v>
      </c>
    </row>
    <row r="412" spans="1:6" ht="15" customHeight="1">
      <c r="A412" s="155">
        <v>7</v>
      </c>
      <c r="B412" s="161" t="s">
        <v>1288</v>
      </c>
      <c r="C412" s="162" t="s">
        <v>1340</v>
      </c>
      <c r="D412" s="162" t="str">
        <f t="shared" si="7"/>
        <v>福島県三島町</v>
      </c>
      <c r="E412" s="161">
        <v>3</v>
      </c>
      <c r="F412" s="168" t="str">
        <f t="shared" si="6"/>
        <v>ミシマチョウ</v>
      </c>
    </row>
    <row r="413" spans="1:6" ht="15" customHeight="1">
      <c r="A413" s="155">
        <v>7</v>
      </c>
      <c r="B413" s="161" t="s">
        <v>1288</v>
      </c>
      <c r="C413" s="162" t="s">
        <v>1341</v>
      </c>
      <c r="D413" s="162" t="str">
        <f t="shared" si="7"/>
        <v>福島県南会津町（旧田島町に限る。）</v>
      </c>
      <c r="E413" s="161">
        <v>3</v>
      </c>
      <c r="F413" s="168" t="str">
        <f t="shared" si="6"/>
        <v>ミナミアイヅチョウ（キュウタジママチニカギル。）</v>
      </c>
    </row>
    <row r="414" spans="1:6" ht="15" customHeight="1">
      <c r="A414" s="155">
        <v>7</v>
      </c>
      <c r="B414" s="161" t="s">
        <v>1288</v>
      </c>
      <c r="C414" s="162" t="s">
        <v>1342</v>
      </c>
      <c r="D414" s="162" t="str">
        <f t="shared" si="7"/>
        <v>福島県南会津町（旧舘岩村、旧伊南村、旧南郷村に限る。）</v>
      </c>
      <c r="E414" s="161">
        <v>2</v>
      </c>
      <c r="F414" s="168" t="str">
        <f t="shared" si="6"/>
        <v>ミナミアイヅチョウ（キュウタテイワムラ、キュウイナムラ、キュウナンゴウムラニカギル。）</v>
      </c>
    </row>
    <row r="415" spans="1:6" ht="15" customHeight="1">
      <c r="A415" s="155">
        <v>7</v>
      </c>
      <c r="B415" s="161" t="s">
        <v>1288</v>
      </c>
      <c r="C415" s="162" t="s">
        <v>1343</v>
      </c>
      <c r="D415" s="162" t="str">
        <f t="shared" si="7"/>
        <v>福島県南相馬市</v>
      </c>
      <c r="E415" s="161">
        <v>5</v>
      </c>
      <c r="F415" s="168" t="str">
        <f t="shared" si="6"/>
        <v>ミナミソウマシ</v>
      </c>
    </row>
    <row r="416" spans="1:6" ht="15" customHeight="1">
      <c r="A416" s="155">
        <v>7</v>
      </c>
      <c r="B416" s="161" t="s">
        <v>1288</v>
      </c>
      <c r="C416" s="162" t="s">
        <v>1344</v>
      </c>
      <c r="D416" s="162" t="str">
        <f t="shared" si="7"/>
        <v>福島県三春町</v>
      </c>
      <c r="E416" s="161">
        <v>4</v>
      </c>
      <c r="F416" s="168" t="str">
        <f t="shared" si="6"/>
        <v>ミハルマチ</v>
      </c>
    </row>
    <row r="417" spans="1:6" ht="15" customHeight="1">
      <c r="A417" s="155">
        <v>7</v>
      </c>
      <c r="B417" s="161" t="s">
        <v>1288</v>
      </c>
      <c r="C417" s="162" t="s">
        <v>1345</v>
      </c>
      <c r="D417" s="162" t="str">
        <f t="shared" si="7"/>
        <v>福島県本宮市</v>
      </c>
      <c r="E417" s="161">
        <v>4</v>
      </c>
      <c r="F417" s="168" t="str">
        <f t="shared" si="6"/>
        <v>モトミヤシ</v>
      </c>
    </row>
    <row r="418" spans="1:6" ht="15" customHeight="1">
      <c r="A418" s="155">
        <v>7</v>
      </c>
      <c r="B418" s="161" t="s">
        <v>1288</v>
      </c>
      <c r="C418" s="162" t="s">
        <v>1346</v>
      </c>
      <c r="D418" s="162" t="str">
        <f t="shared" si="7"/>
        <v>福島県柳津町</v>
      </c>
      <c r="E418" s="161">
        <v>3</v>
      </c>
      <c r="F418" s="168" t="str">
        <f t="shared" si="6"/>
        <v>ヤナイヅマチ</v>
      </c>
    </row>
    <row r="419" spans="1:6" ht="15" customHeight="1">
      <c r="A419" s="155">
        <v>7</v>
      </c>
      <c r="B419" s="161" t="s">
        <v>1288</v>
      </c>
      <c r="C419" s="162" t="s">
        <v>1347</v>
      </c>
      <c r="D419" s="162" t="str">
        <f t="shared" si="7"/>
        <v>福島県矢吹町</v>
      </c>
      <c r="E419" s="161">
        <v>4</v>
      </c>
      <c r="F419" s="168" t="str">
        <f t="shared" si="6"/>
        <v>ヤブキマチ</v>
      </c>
    </row>
    <row r="420" spans="1:6" ht="15" customHeight="1">
      <c r="A420" s="155">
        <v>7</v>
      </c>
      <c r="B420" s="161" t="s">
        <v>1288</v>
      </c>
      <c r="C420" s="162" t="s">
        <v>1348</v>
      </c>
      <c r="D420" s="162" t="str">
        <f t="shared" si="7"/>
        <v>福島県矢祭町</v>
      </c>
      <c r="E420" s="161">
        <v>4</v>
      </c>
      <c r="F420" s="168" t="str">
        <f t="shared" si="6"/>
        <v>ヤマツリマチ</v>
      </c>
    </row>
    <row r="421" spans="1:6" ht="15" customHeight="1">
      <c r="A421" s="155">
        <v>7</v>
      </c>
      <c r="B421" s="161" t="s">
        <v>1288</v>
      </c>
      <c r="C421" s="162" t="s">
        <v>1349</v>
      </c>
      <c r="D421" s="162" t="str">
        <f t="shared" si="7"/>
        <v>福島県湯川村</v>
      </c>
      <c r="E421" s="161">
        <v>4</v>
      </c>
      <c r="F421" s="168" t="str">
        <f t="shared" si="6"/>
        <v>ユカワムラ</v>
      </c>
    </row>
    <row r="422" spans="1:6" ht="15" customHeight="1">
      <c r="A422" s="155">
        <v>8</v>
      </c>
      <c r="B422" s="161" t="s">
        <v>1350</v>
      </c>
      <c r="C422" s="162" t="s">
        <v>1351</v>
      </c>
      <c r="D422" s="162" t="str">
        <f t="shared" si="7"/>
        <v>茨城県阿見町</v>
      </c>
      <c r="E422" s="161">
        <v>5</v>
      </c>
      <c r="F422" s="157" t="s">
        <v>1352</v>
      </c>
    </row>
    <row r="423" spans="1:6" ht="15" customHeight="1">
      <c r="A423" s="155">
        <v>8</v>
      </c>
      <c r="B423" s="161" t="s">
        <v>1350</v>
      </c>
      <c r="C423" s="162" t="s">
        <v>1353</v>
      </c>
      <c r="D423" s="162" t="str">
        <f t="shared" si="7"/>
        <v>茨城県石岡市</v>
      </c>
      <c r="E423" s="161">
        <v>5</v>
      </c>
      <c r="F423" s="157" t="s">
        <v>1354</v>
      </c>
    </row>
    <row r="424" spans="1:6" ht="15" customHeight="1">
      <c r="A424" s="155">
        <v>8</v>
      </c>
      <c r="B424" s="161" t="s">
        <v>1350</v>
      </c>
      <c r="C424" s="162" t="s">
        <v>1355</v>
      </c>
      <c r="D424" s="162" t="str">
        <f t="shared" si="7"/>
        <v>茨城県潮来市</v>
      </c>
      <c r="E424" s="161">
        <v>6</v>
      </c>
      <c r="F424" s="157" t="s">
        <v>1356</v>
      </c>
    </row>
    <row r="425" spans="1:6" ht="15" customHeight="1">
      <c r="A425" s="155">
        <v>8</v>
      </c>
      <c r="B425" s="161" t="s">
        <v>1350</v>
      </c>
      <c r="C425" s="162" t="s">
        <v>1357</v>
      </c>
      <c r="D425" s="162" t="str">
        <f t="shared" si="7"/>
        <v>茨城県稲敷市</v>
      </c>
      <c r="E425" s="161">
        <v>5</v>
      </c>
      <c r="F425" s="157" t="s">
        <v>1358</v>
      </c>
    </row>
    <row r="426" spans="1:6" ht="15" customHeight="1">
      <c r="A426" s="155">
        <v>8</v>
      </c>
      <c r="B426" s="161" t="s">
        <v>1350</v>
      </c>
      <c r="C426" s="162" t="s">
        <v>1359</v>
      </c>
      <c r="D426" s="162" t="str">
        <f t="shared" si="7"/>
        <v>茨城県茨城町</v>
      </c>
      <c r="E426" s="161">
        <v>5</v>
      </c>
      <c r="F426" s="157" t="s">
        <v>1360</v>
      </c>
    </row>
    <row r="427" spans="1:6" ht="15" customHeight="1">
      <c r="A427" s="155">
        <v>8</v>
      </c>
      <c r="B427" s="161" t="s">
        <v>1350</v>
      </c>
      <c r="C427" s="162" t="s">
        <v>1361</v>
      </c>
      <c r="D427" s="162" t="str">
        <f t="shared" si="7"/>
        <v>茨城県牛久市</v>
      </c>
      <c r="E427" s="161">
        <v>5</v>
      </c>
      <c r="F427" s="157" t="s">
        <v>1362</v>
      </c>
    </row>
    <row r="428" spans="1:6" ht="15" customHeight="1">
      <c r="A428" s="155">
        <v>8</v>
      </c>
      <c r="B428" s="161" t="s">
        <v>1350</v>
      </c>
      <c r="C428" s="162" t="s">
        <v>1363</v>
      </c>
      <c r="D428" s="162" t="str">
        <f t="shared" si="7"/>
        <v>茨城県大洗町</v>
      </c>
      <c r="E428" s="161">
        <v>5</v>
      </c>
      <c r="F428" s="157" t="s">
        <v>1364</v>
      </c>
    </row>
    <row r="429" spans="1:6" ht="15" customHeight="1">
      <c r="A429" s="155">
        <v>8</v>
      </c>
      <c r="B429" s="161" t="s">
        <v>1350</v>
      </c>
      <c r="C429" s="162" t="s">
        <v>1365</v>
      </c>
      <c r="D429" s="162" t="str">
        <f t="shared" si="7"/>
        <v>茨城県小美玉市</v>
      </c>
      <c r="E429" s="161">
        <v>5</v>
      </c>
      <c r="F429" s="157" t="s">
        <v>1366</v>
      </c>
    </row>
    <row r="430" spans="1:6" ht="15" customHeight="1">
      <c r="A430" s="155">
        <v>8</v>
      </c>
      <c r="B430" s="161" t="s">
        <v>1350</v>
      </c>
      <c r="C430" s="162" t="s">
        <v>1367</v>
      </c>
      <c r="D430" s="162" t="str">
        <f t="shared" si="7"/>
        <v>茨城県笠間市</v>
      </c>
      <c r="E430" s="161">
        <v>5</v>
      </c>
      <c r="F430" s="157" t="s">
        <v>1368</v>
      </c>
    </row>
    <row r="431" spans="1:6" ht="15" customHeight="1">
      <c r="A431" s="155">
        <v>8</v>
      </c>
      <c r="B431" s="161" t="s">
        <v>1350</v>
      </c>
      <c r="C431" s="162" t="s">
        <v>1369</v>
      </c>
      <c r="D431" s="162" t="str">
        <f t="shared" si="7"/>
        <v>茨城県鹿嶋市</v>
      </c>
      <c r="E431" s="161">
        <v>6</v>
      </c>
      <c r="F431" s="157" t="s">
        <v>1370</v>
      </c>
    </row>
    <row r="432" spans="1:6" ht="15" customHeight="1">
      <c r="A432" s="155">
        <v>8</v>
      </c>
      <c r="B432" s="161" t="s">
        <v>1350</v>
      </c>
      <c r="C432" s="162" t="s">
        <v>1371</v>
      </c>
      <c r="D432" s="162" t="str">
        <f t="shared" si="7"/>
        <v>茨城県かすみがうら市</v>
      </c>
      <c r="E432" s="161">
        <v>5</v>
      </c>
      <c r="F432" s="157" t="s">
        <v>1372</v>
      </c>
    </row>
    <row r="433" spans="1:6" ht="15" customHeight="1">
      <c r="A433" s="155">
        <v>8</v>
      </c>
      <c r="B433" s="161" t="s">
        <v>1350</v>
      </c>
      <c r="C433" s="162" t="s">
        <v>1373</v>
      </c>
      <c r="D433" s="162" t="str">
        <f t="shared" si="7"/>
        <v>茨城県神栖市</v>
      </c>
      <c r="E433" s="161">
        <v>6</v>
      </c>
      <c r="F433" s="157" t="s">
        <v>1374</v>
      </c>
    </row>
    <row r="434" spans="1:6" ht="15" customHeight="1">
      <c r="A434" s="155">
        <v>8</v>
      </c>
      <c r="B434" s="161" t="s">
        <v>1350</v>
      </c>
      <c r="C434" s="162" t="s">
        <v>1375</v>
      </c>
      <c r="D434" s="162" t="str">
        <f t="shared" si="7"/>
        <v>茨城県河内町</v>
      </c>
      <c r="E434" s="161">
        <v>5</v>
      </c>
      <c r="F434" s="157" t="s">
        <v>1376</v>
      </c>
    </row>
    <row r="435" spans="1:6" ht="15" customHeight="1">
      <c r="A435" s="155">
        <v>8</v>
      </c>
      <c r="B435" s="161" t="s">
        <v>1350</v>
      </c>
      <c r="C435" s="162" t="s">
        <v>1377</v>
      </c>
      <c r="D435" s="162" t="str">
        <f t="shared" si="7"/>
        <v>茨城県北茨城市</v>
      </c>
      <c r="E435" s="161">
        <v>5</v>
      </c>
      <c r="F435" s="157" t="s">
        <v>1378</v>
      </c>
    </row>
    <row r="436" spans="1:6" ht="15" customHeight="1">
      <c r="A436" s="155">
        <v>8</v>
      </c>
      <c r="B436" s="161" t="s">
        <v>1350</v>
      </c>
      <c r="C436" s="162" t="s">
        <v>1379</v>
      </c>
      <c r="D436" s="162" t="str">
        <f t="shared" si="7"/>
        <v>茨城県古河市</v>
      </c>
      <c r="E436" s="161">
        <v>6</v>
      </c>
      <c r="F436" s="157" t="s">
        <v>1380</v>
      </c>
    </row>
    <row r="437" spans="1:6" ht="15" customHeight="1">
      <c r="A437" s="155">
        <v>8</v>
      </c>
      <c r="B437" s="161" t="s">
        <v>1350</v>
      </c>
      <c r="C437" s="162" t="s">
        <v>1381</v>
      </c>
      <c r="D437" s="162" t="str">
        <f t="shared" si="7"/>
        <v>茨城県五霞町</v>
      </c>
      <c r="E437" s="161">
        <v>5</v>
      </c>
      <c r="F437" s="157" t="s">
        <v>1382</v>
      </c>
    </row>
    <row r="438" spans="1:6" ht="15" customHeight="1">
      <c r="A438" s="155">
        <v>8</v>
      </c>
      <c r="B438" s="161" t="s">
        <v>1350</v>
      </c>
      <c r="C438" s="162" t="s">
        <v>1383</v>
      </c>
      <c r="D438" s="162" t="str">
        <f t="shared" si="7"/>
        <v>茨城県境町</v>
      </c>
      <c r="E438" s="161">
        <v>5</v>
      </c>
      <c r="F438" s="157" t="s">
        <v>1384</v>
      </c>
    </row>
    <row r="439" spans="1:6" ht="15" customHeight="1">
      <c r="A439" s="155">
        <v>8</v>
      </c>
      <c r="B439" s="161" t="s">
        <v>1350</v>
      </c>
      <c r="C439" s="162" t="s">
        <v>1385</v>
      </c>
      <c r="D439" s="162" t="str">
        <f t="shared" si="7"/>
        <v>茨城県桜川市</v>
      </c>
      <c r="E439" s="161">
        <v>5</v>
      </c>
      <c r="F439" s="157" t="s">
        <v>1386</v>
      </c>
    </row>
    <row r="440" spans="1:6" ht="15" customHeight="1">
      <c r="A440" s="155">
        <v>8</v>
      </c>
      <c r="B440" s="161" t="s">
        <v>1350</v>
      </c>
      <c r="C440" s="162" t="s">
        <v>1387</v>
      </c>
      <c r="D440" s="162" t="str">
        <f t="shared" si="7"/>
        <v>茨城県下妻市</v>
      </c>
      <c r="E440" s="161">
        <v>5</v>
      </c>
      <c r="F440" s="157" t="s">
        <v>1388</v>
      </c>
    </row>
    <row r="441" spans="1:6" ht="15" customHeight="1">
      <c r="A441" s="155">
        <v>8</v>
      </c>
      <c r="B441" s="161" t="s">
        <v>1350</v>
      </c>
      <c r="C441" s="162" t="s">
        <v>1389</v>
      </c>
      <c r="D441" s="162" t="str">
        <f t="shared" si="7"/>
        <v>茨城県常総市</v>
      </c>
      <c r="E441" s="161">
        <v>5</v>
      </c>
      <c r="F441" s="157" t="s">
        <v>1390</v>
      </c>
    </row>
    <row r="442" spans="1:6" ht="15" customHeight="1">
      <c r="A442" s="155">
        <v>8</v>
      </c>
      <c r="B442" s="161" t="s">
        <v>1350</v>
      </c>
      <c r="C442" s="162" t="s">
        <v>1391</v>
      </c>
      <c r="D442" s="162" t="str">
        <f t="shared" si="7"/>
        <v>茨城県城里町（旧常北町、旧桂村に限る。）</v>
      </c>
      <c r="E442" s="161">
        <v>5</v>
      </c>
      <c r="F442" s="157" t="s">
        <v>1392</v>
      </c>
    </row>
    <row r="443" spans="1:6" ht="15" customHeight="1">
      <c r="A443" s="155">
        <v>8</v>
      </c>
      <c r="B443" s="161" t="s">
        <v>1350</v>
      </c>
      <c r="C443" s="162" t="s">
        <v>1393</v>
      </c>
      <c r="D443" s="162" t="str">
        <f t="shared" si="7"/>
        <v>茨城県城里町（旧七会村に限る。）</v>
      </c>
      <c r="E443" s="161">
        <v>4</v>
      </c>
      <c r="F443" s="157" t="s">
        <v>1394</v>
      </c>
    </row>
    <row r="444" spans="1:6" ht="15" customHeight="1">
      <c r="A444" s="155">
        <v>8</v>
      </c>
      <c r="B444" s="161" t="s">
        <v>1350</v>
      </c>
      <c r="C444" s="162" t="s">
        <v>1395</v>
      </c>
      <c r="D444" s="162" t="str">
        <f t="shared" si="7"/>
        <v>茨城県大子町</v>
      </c>
      <c r="E444" s="161">
        <v>4</v>
      </c>
      <c r="F444" s="157" t="s">
        <v>1396</v>
      </c>
    </row>
    <row r="445" spans="1:6" ht="15" customHeight="1">
      <c r="A445" s="155">
        <v>8</v>
      </c>
      <c r="B445" s="161" t="s">
        <v>1350</v>
      </c>
      <c r="C445" s="162" t="s">
        <v>1397</v>
      </c>
      <c r="D445" s="162" t="str">
        <f t="shared" si="7"/>
        <v>茨城県高萩市</v>
      </c>
      <c r="E445" s="161">
        <v>5</v>
      </c>
      <c r="F445" s="157" t="s">
        <v>1398</v>
      </c>
    </row>
    <row r="446" spans="1:6" ht="15" customHeight="1">
      <c r="A446" s="155">
        <v>8</v>
      </c>
      <c r="B446" s="161" t="s">
        <v>1350</v>
      </c>
      <c r="C446" s="162" t="s">
        <v>1399</v>
      </c>
      <c r="D446" s="162" t="str">
        <f t="shared" si="7"/>
        <v>茨城県筑西市</v>
      </c>
      <c r="E446" s="161">
        <v>5</v>
      </c>
      <c r="F446" s="157" t="s">
        <v>1400</v>
      </c>
    </row>
    <row r="447" spans="1:6" ht="15" customHeight="1">
      <c r="A447" s="155">
        <v>8</v>
      </c>
      <c r="B447" s="161" t="s">
        <v>1350</v>
      </c>
      <c r="C447" s="162" t="s">
        <v>1401</v>
      </c>
      <c r="D447" s="162" t="str">
        <f t="shared" si="7"/>
        <v>茨城県つくば市</v>
      </c>
      <c r="E447" s="161">
        <v>5</v>
      </c>
      <c r="F447" s="157" t="s">
        <v>1402</v>
      </c>
    </row>
    <row r="448" spans="1:6" ht="15" customHeight="1">
      <c r="A448" s="155">
        <v>8</v>
      </c>
      <c r="B448" s="161" t="s">
        <v>1350</v>
      </c>
      <c r="C448" s="162" t="s">
        <v>1403</v>
      </c>
      <c r="D448" s="162" t="str">
        <f t="shared" si="7"/>
        <v>茨城県つくばみらい市</v>
      </c>
      <c r="E448" s="161">
        <v>5</v>
      </c>
      <c r="F448" s="157" t="s">
        <v>1404</v>
      </c>
    </row>
    <row r="449" spans="1:6" ht="15" customHeight="1">
      <c r="A449" s="155">
        <v>8</v>
      </c>
      <c r="B449" s="161" t="s">
        <v>1350</v>
      </c>
      <c r="C449" s="162" t="s">
        <v>1405</v>
      </c>
      <c r="D449" s="162" t="str">
        <f t="shared" si="7"/>
        <v>茨城県土浦市（旧新治村に限る。）</v>
      </c>
      <c r="E449" s="161">
        <v>5</v>
      </c>
      <c r="F449" s="157" t="s">
        <v>1406</v>
      </c>
    </row>
    <row r="450" spans="1:6" ht="15" customHeight="1">
      <c r="A450" s="155">
        <v>8</v>
      </c>
      <c r="B450" s="161" t="s">
        <v>1350</v>
      </c>
      <c r="C450" s="162" t="s">
        <v>1407</v>
      </c>
      <c r="D450" s="162" t="str">
        <f t="shared" si="7"/>
        <v>茨城県土浦市（旧新治村を除く。）</v>
      </c>
      <c r="E450" s="161">
        <v>6</v>
      </c>
      <c r="F450" s="157" t="s">
        <v>1408</v>
      </c>
    </row>
    <row r="451" spans="1:6" ht="15" customHeight="1">
      <c r="A451" s="155">
        <v>8</v>
      </c>
      <c r="B451" s="161" t="s">
        <v>1350</v>
      </c>
      <c r="C451" s="162" t="s">
        <v>1409</v>
      </c>
      <c r="D451" s="162" t="str">
        <f t="shared" si="7"/>
        <v>茨城県東海村</v>
      </c>
      <c r="E451" s="161">
        <v>5</v>
      </c>
      <c r="F451" s="157" t="s">
        <v>1410</v>
      </c>
    </row>
    <row r="452" spans="1:6" ht="15" customHeight="1">
      <c r="A452" s="155">
        <v>8</v>
      </c>
      <c r="B452" s="161" t="s">
        <v>1350</v>
      </c>
      <c r="C452" s="162" t="s">
        <v>1411</v>
      </c>
      <c r="D452" s="162" t="str">
        <f t="shared" ref="D452:D515" si="8">B452&amp;C452</f>
        <v>茨城県利根町</v>
      </c>
      <c r="E452" s="161">
        <v>5</v>
      </c>
      <c r="F452" s="157" t="s">
        <v>1412</v>
      </c>
    </row>
    <row r="453" spans="1:6" ht="15" customHeight="1">
      <c r="A453" s="155">
        <v>8</v>
      </c>
      <c r="B453" s="161" t="s">
        <v>1350</v>
      </c>
      <c r="C453" s="162" t="s">
        <v>1413</v>
      </c>
      <c r="D453" s="162" t="str">
        <f t="shared" si="8"/>
        <v>茨城県取手市</v>
      </c>
      <c r="E453" s="161">
        <v>5</v>
      </c>
      <c r="F453" s="157" t="s">
        <v>1414</v>
      </c>
    </row>
    <row r="454" spans="1:6" ht="15" customHeight="1">
      <c r="A454" s="155">
        <v>8</v>
      </c>
      <c r="B454" s="161" t="s">
        <v>1350</v>
      </c>
      <c r="C454" s="162" t="s">
        <v>1415</v>
      </c>
      <c r="D454" s="162" t="str">
        <f t="shared" si="8"/>
        <v>茨城県那珂市</v>
      </c>
      <c r="E454" s="161">
        <v>5</v>
      </c>
      <c r="F454" s="157" t="s">
        <v>1416</v>
      </c>
    </row>
    <row r="455" spans="1:6" ht="15" customHeight="1">
      <c r="A455" s="155">
        <v>8</v>
      </c>
      <c r="B455" s="161" t="s">
        <v>1350</v>
      </c>
      <c r="C455" s="162" t="s">
        <v>1417</v>
      </c>
      <c r="D455" s="162" t="str">
        <f t="shared" si="8"/>
        <v>茨城県坂東市</v>
      </c>
      <c r="E455" s="161">
        <v>5</v>
      </c>
      <c r="F455" s="157" t="s">
        <v>1418</v>
      </c>
    </row>
    <row r="456" spans="1:6" ht="15" customHeight="1">
      <c r="A456" s="155">
        <v>8</v>
      </c>
      <c r="B456" s="161" t="s">
        <v>1350</v>
      </c>
      <c r="C456" s="162" t="s">
        <v>1419</v>
      </c>
      <c r="D456" s="162" t="str">
        <f t="shared" si="8"/>
        <v>茨城県常陸太田市</v>
      </c>
      <c r="E456" s="161">
        <v>5</v>
      </c>
      <c r="F456" s="157" t="s">
        <v>1420</v>
      </c>
    </row>
    <row r="457" spans="1:6" ht="15" customHeight="1">
      <c r="A457" s="155">
        <v>8</v>
      </c>
      <c r="B457" s="161" t="s">
        <v>1350</v>
      </c>
      <c r="C457" s="162" t="s">
        <v>1421</v>
      </c>
      <c r="D457" s="162" t="str">
        <f t="shared" si="8"/>
        <v>茨城県常陸大宮市</v>
      </c>
      <c r="E457" s="161">
        <v>5</v>
      </c>
      <c r="F457" s="157" t="s">
        <v>1422</v>
      </c>
    </row>
    <row r="458" spans="1:6" ht="15" customHeight="1">
      <c r="A458" s="155">
        <v>8</v>
      </c>
      <c r="B458" s="161" t="s">
        <v>1350</v>
      </c>
      <c r="C458" s="162" t="s">
        <v>1423</v>
      </c>
      <c r="D458" s="162" t="str">
        <f t="shared" si="8"/>
        <v>茨城県日立市</v>
      </c>
      <c r="E458" s="161">
        <v>6</v>
      </c>
      <c r="F458" s="157" t="s">
        <v>1424</v>
      </c>
    </row>
    <row r="459" spans="1:6" ht="15" customHeight="1">
      <c r="A459" s="155">
        <v>8</v>
      </c>
      <c r="B459" s="161" t="s">
        <v>1350</v>
      </c>
      <c r="C459" s="162" t="s">
        <v>1425</v>
      </c>
      <c r="D459" s="162" t="str">
        <f t="shared" si="8"/>
        <v>茨城県ひたちなか市</v>
      </c>
      <c r="E459" s="161">
        <v>5</v>
      </c>
      <c r="F459" s="157" t="s">
        <v>1426</v>
      </c>
    </row>
    <row r="460" spans="1:6" ht="15" customHeight="1">
      <c r="A460" s="155">
        <v>8</v>
      </c>
      <c r="B460" s="161" t="s">
        <v>1350</v>
      </c>
      <c r="C460" s="162" t="s">
        <v>1427</v>
      </c>
      <c r="D460" s="162" t="str">
        <f t="shared" si="8"/>
        <v>茨城県鉾田市</v>
      </c>
      <c r="E460" s="161">
        <v>5</v>
      </c>
      <c r="F460" s="157" t="s">
        <v>1428</v>
      </c>
    </row>
    <row r="461" spans="1:6" ht="15" customHeight="1">
      <c r="A461" s="155">
        <v>8</v>
      </c>
      <c r="B461" s="161" t="s">
        <v>1350</v>
      </c>
      <c r="C461" s="162" t="s">
        <v>1429</v>
      </c>
      <c r="D461" s="162" t="str">
        <f t="shared" si="8"/>
        <v>茨城県水戸市</v>
      </c>
      <c r="E461" s="161">
        <v>5</v>
      </c>
      <c r="F461" s="157" t="s">
        <v>1430</v>
      </c>
    </row>
    <row r="462" spans="1:6" ht="15" customHeight="1">
      <c r="A462" s="155">
        <v>8</v>
      </c>
      <c r="B462" s="161" t="s">
        <v>1350</v>
      </c>
      <c r="C462" s="162" t="s">
        <v>1431</v>
      </c>
      <c r="D462" s="162" t="str">
        <f t="shared" si="8"/>
        <v>茨城県美浦村</v>
      </c>
      <c r="E462" s="161">
        <v>5</v>
      </c>
      <c r="F462" s="157" t="s">
        <v>1432</v>
      </c>
    </row>
    <row r="463" spans="1:6" ht="15" customHeight="1">
      <c r="A463" s="155">
        <v>8</v>
      </c>
      <c r="B463" s="161" t="s">
        <v>1350</v>
      </c>
      <c r="C463" s="162" t="s">
        <v>1433</v>
      </c>
      <c r="D463" s="162" t="str">
        <f t="shared" si="8"/>
        <v>茨城県守谷市</v>
      </c>
      <c r="E463" s="161">
        <v>6</v>
      </c>
      <c r="F463" s="157" t="s">
        <v>1434</v>
      </c>
    </row>
    <row r="464" spans="1:6" ht="15" customHeight="1">
      <c r="A464" s="155">
        <v>8</v>
      </c>
      <c r="B464" s="161" t="s">
        <v>1350</v>
      </c>
      <c r="C464" s="162" t="s">
        <v>1435</v>
      </c>
      <c r="D464" s="162" t="str">
        <f t="shared" si="8"/>
        <v>茨城県八千代町</v>
      </c>
      <c r="E464" s="161">
        <v>5</v>
      </c>
      <c r="F464" s="157" t="s">
        <v>1436</v>
      </c>
    </row>
    <row r="465" spans="1:6" ht="15" customHeight="1">
      <c r="A465" s="155">
        <v>8</v>
      </c>
      <c r="B465" s="161" t="s">
        <v>1350</v>
      </c>
      <c r="C465" s="162" t="s">
        <v>1437</v>
      </c>
      <c r="D465" s="162" t="str">
        <f t="shared" si="8"/>
        <v>茨城県結城市</v>
      </c>
      <c r="E465" s="161">
        <v>5</v>
      </c>
      <c r="F465" s="157" t="s">
        <v>1438</v>
      </c>
    </row>
    <row r="466" spans="1:6" ht="15" customHeight="1">
      <c r="A466" s="155">
        <v>8</v>
      </c>
      <c r="B466" s="161" t="s">
        <v>1350</v>
      </c>
      <c r="C466" s="162" t="s">
        <v>1439</v>
      </c>
      <c r="D466" s="162" t="str">
        <f t="shared" si="8"/>
        <v>茨城県行方市</v>
      </c>
      <c r="E466" s="161">
        <v>5</v>
      </c>
      <c r="F466" s="157" t="s">
        <v>1440</v>
      </c>
    </row>
    <row r="467" spans="1:6" ht="15" customHeight="1">
      <c r="A467" s="155">
        <v>8</v>
      </c>
      <c r="B467" s="161" t="s">
        <v>1350</v>
      </c>
      <c r="C467" s="162" t="s">
        <v>1441</v>
      </c>
      <c r="D467" s="162" t="str">
        <f t="shared" si="8"/>
        <v>茨城県龍ケ崎市</v>
      </c>
      <c r="E467" s="161">
        <v>6</v>
      </c>
      <c r="F467" s="157" t="s">
        <v>1442</v>
      </c>
    </row>
    <row r="468" spans="1:6" ht="15" customHeight="1">
      <c r="A468" s="155">
        <v>9</v>
      </c>
      <c r="B468" s="161" t="s">
        <v>1443</v>
      </c>
      <c r="C468" s="162" t="s">
        <v>1444</v>
      </c>
      <c r="D468" s="162" t="str">
        <f t="shared" si="8"/>
        <v>栃木県足利市</v>
      </c>
      <c r="E468" s="161">
        <v>6</v>
      </c>
      <c r="F468" s="157" t="s">
        <v>1445</v>
      </c>
    </row>
    <row r="469" spans="1:6" ht="15" customHeight="1">
      <c r="A469" s="155">
        <v>9</v>
      </c>
      <c r="B469" s="161" t="s">
        <v>1443</v>
      </c>
      <c r="C469" s="162" t="s">
        <v>1446</v>
      </c>
      <c r="D469" s="162" t="str">
        <f t="shared" si="8"/>
        <v>栃木県市貝町</v>
      </c>
      <c r="E469" s="161">
        <v>5</v>
      </c>
      <c r="F469" s="157" t="s">
        <v>1447</v>
      </c>
    </row>
    <row r="470" spans="1:6" ht="15" customHeight="1">
      <c r="A470" s="155">
        <v>9</v>
      </c>
      <c r="B470" s="161" t="s">
        <v>1443</v>
      </c>
      <c r="C470" s="162" t="s">
        <v>1448</v>
      </c>
      <c r="D470" s="162" t="str">
        <f t="shared" si="8"/>
        <v>栃木県宇都宮市</v>
      </c>
      <c r="E470" s="161">
        <v>5</v>
      </c>
      <c r="F470" s="157" t="s">
        <v>1449</v>
      </c>
    </row>
    <row r="471" spans="1:6" ht="15" customHeight="1">
      <c r="A471" s="155">
        <v>9</v>
      </c>
      <c r="B471" s="161" t="s">
        <v>1443</v>
      </c>
      <c r="C471" s="162" t="s">
        <v>1450</v>
      </c>
      <c r="D471" s="162" t="str">
        <f t="shared" si="8"/>
        <v>栃木県大田原市</v>
      </c>
      <c r="E471" s="161">
        <v>5</v>
      </c>
      <c r="F471" s="157" t="s">
        <v>1451</v>
      </c>
    </row>
    <row r="472" spans="1:6" ht="15" customHeight="1">
      <c r="A472" s="155">
        <v>9</v>
      </c>
      <c r="B472" s="161" t="s">
        <v>1443</v>
      </c>
      <c r="C472" s="162" t="s">
        <v>1452</v>
      </c>
      <c r="D472" s="162" t="str">
        <f t="shared" si="8"/>
        <v>栃木県小山市</v>
      </c>
      <c r="E472" s="161">
        <v>5</v>
      </c>
      <c r="F472" s="157" t="s">
        <v>1453</v>
      </c>
    </row>
    <row r="473" spans="1:6" ht="15" customHeight="1">
      <c r="A473" s="155">
        <v>9</v>
      </c>
      <c r="B473" s="161" t="s">
        <v>1443</v>
      </c>
      <c r="C473" s="162" t="s">
        <v>1454</v>
      </c>
      <c r="D473" s="162" t="str">
        <f t="shared" si="8"/>
        <v>栃木県鹿沼市</v>
      </c>
      <c r="E473" s="161">
        <v>5</v>
      </c>
      <c r="F473" s="157" t="s">
        <v>1455</v>
      </c>
    </row>
    <row r="474" spans="1:6" ht="15" customHeight="1">
      <c r="A474" s="155">
        <v>9</v>
      </c>
      <c r="B474" s="161" t="s">
        <v>1443</v>
      </c>
      <c r="C474" s="162" t="s">
        <v>1456</v>
      </c>
      <c r="D474" s="162" t="str">
        <f t="shared" si="8"/>
        <v>栃木県上三川町</v>
      </c>
      <c r="E474" s="161">
        <v>5</v>
      </c>
      <c r="F474" s="157" t="s">
        <v>1457</v>
      </c>
    </row>
    <row r="475" spans="1:6" ht="15" customHeight="1">
      <c r="A475" s="155">
        <v>9</v>
      </c>
      <c r="B475" s="161" t="s">
        <v>1443</v>
      </c>
      <c r="C475" s="162" t="s">
        <v>1458</v>
      </c>
      <c r="D475" s="162" t="str">
        <f t="shared" si="8"/>
        <v>栃木県さくら市</v>
      </c>
      <c r="E475" s="161">
        <v>5</v>
      </c>
      <c r="F475" s="157" t="s">
        <v>1459</v>
      </c>
    </row>
    <row r="476" spans="1:6" ht="15" customHeight="1">
      <c r="A476" s="155">
        <v>9</v>
      </c>
      <c r="B476" s="161" t="s">
        <v>1443</v>
      </c>
      <c r="C476" s="162" t="s">
        <v>1460</v>
      </c>
      <c r="D476" s="162" t="str">
        <f t="shared" si="8"/>
        <v>栃木県佐野市</v>
      </c>
      <c r="E476" s="161">
        <v>6</v>
      </c>
      <c r="F476" s="157" t="s">
        <v>1461</v>
      </c>
    </row>
    <row r="477" spans="1:6" ht="15" customHeight="1">
      <c r="A477" s="155">
        <v>9</v>
      </c>
      <c r="B477" s="161" t="s">
        <v>1443</v>
      </c>
      <c r="C477" s="162" t="s">
        <v>1462</v>
      </c>
      <c r="D477" s="162" t="str">
        <f t="shared" si="8"/>
        <v>栃木県塩谷町</v>
      </c>
      <c r="E477" s="161">
        <v>4</v>
      </c>
      <c r="F477" s="157" t="s">
        <v>1463</v>
      </c>
    </row>
    <row r="478" spans="1:6" ht="15" customHeight="1">
      <c r="A478" s="155">
        <v>9</v>
      </c>
      <c r="B478" s="161" t="s">
        <v>1443</v>
      </c>
      <c r="C478" s="162" t="s">
        <v>1464</v>
      </c>
      <c r="D478" s="162" t="str">
        <f t="shared" si="8"/>
        <v>栃木県下野市</v>
      </c>
      <c r="E478" s="161">
        <v>5</v>
      </c>
      <c r="F478" s="157" t="s">
        <v>1465</v>
      </c>
    </row>
    <row r="479" spans="1:6" ht="15" customHeight="1">
      <c r="A479" s="155">
        <v>9</v>
      </c>
      <c r="B479" s="161" t="s">
        <v>1443</v>
      </c>
      <c r="C479" s="162" t="s">
        <v>1466</v>
      </c>
      <c r="D479" s="162" t="str">
        <f t="shared" si="8"/>
        <v>栃木県高根沢町</v>
      </c>
      <c r="E479" s="161">
        <v>5</v>
      </c>
      <c r="F479" s="157" t="s">
        <v>1467</v>
      </c>
    </row>
    <row r="480" spans="1:6" ht="15" customHeight="1">
      <c r="A480" s="155">
        <v>9</v>
      </c>
      <c r="B480" s="161" t="s">
        <v>1443</v>
      </c>
      <c r="C480" s="162" t="s">
        <v>1468</v>
      </c>
      <c r="D480" s="162" t="str">
        <f t="shared" si="8"/>
        <v>栃木県栃木市</v>
      </c>
      <c r="E480" s="161">
        <v>5</v>
      </c>
      <c r="F480" s="157" t="s">
        <v>1469</v>
      </c>
    </row>
    <row r="481" spans="1:6" ht="15" customHeight="1">
      <c r="A481" s="155">
        <v>9</v>
      </c>
      <c r="B481" s="161" t="s">
        <v>1443</v>
      </c>
      <c r="C481" s="162" t="s">
        <v>1470</v>
      </c>
      <c r="D481" s="162" t="str">
        <f t="shared" si="8"/>
        <v>栃木県那珂川町</v>
      </c>
      <c r="E481" s="161">
        <v>5</v>
      </c>
      <c r="F481" s="157" t="s">
        <v>1471</v>
      </c>
    </row>
    <row r="482" spans="1:6" ht="15" customHeight="1">
      <c r="A482" s="155">
        <v>9</v>
      </c>
      <c r="B482" s="161" t="s">
        <v>1443</v>
      </c>
      <c r="C482" s="162" t="s">
        <v>1472</v>
      </c>
      <c r="D482" s="162" t="str">
        <f t="shared" si="8"/>
        <v>栃木県那須烏山市</v>
      </c>
      <c r="E482" s="161">
        <v>5</v>
      </c>
      <c r="F482" s="157" t="s">
        <v>1473</v>
      </c>
    </row>
    <row r="483" spans="1:6" ht="15" customHeight="1">
      <c r="A483" s="155">
        <v>9</v>
      </c>
      <c r="B483" s="161" t="s">
        <v>1443</v>
      </c>
      <c r="C483" s="162" t="s">
        <v>1474</v>
      </c>
      <c r="D483" s="162" t="str">
        <f t="shared" si="8"/>
        <v>栃木県那須塩原市</v>
      </c>
      <c r="E483" s="161">
        <v>4</v>
      </c>
      <c r="F483" s="157" t="s">
        <v>1475</v>
      </c>
    </row>
    <row r="484" spans="1:6" ht="15" customHeight="1">
      <c r="A484" s="155">
        <v>9</v>
      </c>
      <c r="B484" s="161" t="s">
        <v>1443</v>
      </c>
      <c r="C484" s="162" t="s">
        <v>1476</v>
      </c>
      <c r="D484" s="162" t="str">
        <f t="shared" si="8"/>
        <v>栃木県那須町</v>
      </c>
      <c r="E484" s="161">
        <v>4</v>
      </c>
      <c r="F484" s="157" t="s">
        <v>1477</v>
      </c>
    </row>
    <row r="485" spans="1:6" ht="15" customHeight="1">
      <c r="A485" s="155">
        <v>9</v>
      </c>
      <c r="B485" s="161" t="s">
        <v>1443</v>
      </c>
      <c r="C485" s="162" t="s">
        <v>1478</v>
      </c>
      <c r="D485" s="162" t="str">
        <f t="shared" si="8"/>
        <v>栃木県日光市(旧足尾町に限る。)</v>
      </c>
      <c r="E485" s="161">
        <v>3</v>
      </c>
      <c r="F485" s="157" t="s">
        <v>1479</v>
      </c>
    </row>
    <row r="486" spans="1:6" ht="15" customHeight="1">
      <c r="A486" s="155">
        <v>9</v>
      </c>
      <c r="B486" s="161" t="s">
        <v>1443</v>
      </c>
      <c r="C486" s="162" t="s">
        <v>1480</v>
      </c>
      <c r="D486" s="162" t="str">
        <f t="shared" si="8"/>
        <v>栃木県日光市（旧栗山村に限る。）</v>
      </c>
      <c r="E486" s="161">
        <v>2</v>
      </c>
      <c r="F486" s="157" t="s">
        <v>1481</v>
      </c>
    </row>
    <row r="487" spans="1:6" ht="15" customHeight="1">
      <c r="A487" s="155">
        <v>9</v>
      </c>
      <c r="B487" s="161" t="s">
        <v>1443</v>
      </c>
      <c r="C487" s="162" t="s">
        <v>1482</v>
      </c>
      <c r="D487" s="162" t="str">
        <f t="shared" si="8"/>
        <v>栃木県日光市(旧日光市、旧今市市、旧藤原町に限る。)</v>
      </c>
      <c r="E487" s="161">
        <v>4</v>
      </c>
      <c r="F487" s="157" t="s">
        <v>1483</v>
      </c>
    </row>
    <row r="488" spans="1:6" ht="15" customHeight="1">
      <c r="A488" s="155">
        <v>9</v>
      </c>
      <c r="B488" s="161" t="s">
        <v>1443</v>
      </c>
      <c r="C488" s="162" t="s">
        <v>1484</v>
      </c>
      <c r="D488" s="162" t="str">
        <f t="shared" si="8"/>
        <v>栃木県野木町</v>
      </c>
      <c r="E488" s="161">
        <v>5</v>
      </c>
      <c r="F488" s="157" t="s">
        <v>1485</v>
      </c>
    </row>
    <row r="489" spans="1:6" ht="15" customHeight="1">
      <c r="A489" s="155">
        <v>9</v>
      </c>
      <c r="B489" s="161" t="s">
        <v>1443</v>
      </c>
      <c r="C489" s="162" t="s">
        <v>1486</v>
      </c>
      <c r="D489" s="162" t="str">
        <f t="shared" si="8"/>
        <v>栃木県芳賀町</v>
      </c>
      <c r="E489" s="161">
        <v>5</v>
      </c>
      <c r="F489" s="157" t="s">
        <v>1487</v>
      </c>
    </row>
    <row r="490" spans="1:6" ht="15" customHeight="1">
      <c r="A490" s="155">
        <v>9</v>
      </c>
      <c r="B490" s="161" t="s">
        <v>1443</v>
      </c>
      <c r="C490" s="162" t="s">
        <v>1488</v>
      </c>
      <c r="D490" s="162" t="str">
        <f t="shared" si="8"/>
        <v>栃木県益子町</v>
      </c>
      <c r="E490" s="161">
        <v>5</v>
      </c>
      <c r="F490" s="157" t="s">
        <v>1489</v>
      </c>
    </row>
    <row r="491" spans="1:6" ht="15" customHeight="1">
      <c r="A491" s="155">
        <v>9</v>
      </c>
      <c r="B491" s="161" t="s">
        <v>1443</v>
      </c>
      <c r="C491" s="162" t="s">
        <v>1490</v>
      </c>
      <c r="D491" s="162" t="str">
        <f t="shared" si="8"/>
        <v>栃木県壬生町</v>
      </c>
      <c r="E491" s="161">
        <v>5</v>
      </c>
      <c r="F491" s="157" t="s">
        <v>1491</v>
      </c>
    </row>
    <row r="492" spans="1:6" ht="15" customHeight="1">
      <c r="A492" s="155">
        <v>9</v>
      </c>
      <c r="B492" s="161" t="s">
        <v>1443</v>
      </c>
      <c r="C492" s="162" t="s">
        <v>1492</v>
      </c>
      <c r="D492" s="162" t="str">
        <f t="shared" si="8"/>
        <v>栃木県真岡市</v>
      </c>
      <c r="E492" s="161">
        <v>5</v>
      </c>
      <c r="F492" s="157" t="s">
        <v>1493</v>
      </c>
    </row>
    <row r="493" spans="1:6" ht="15" customHeight="1">
      <c r="A493" s="155">
        <v>9</v>
      </c>
      <c r="B493" s="161" t="s">
        <v>1443</v>
      </c>
      <c r="C493" s="162" t="s">
        <v>1494</v>
      </c>
      <c r="D493" s="162" t="str">
        <f t="shared" si="8"/>
        <v>栃木県茂木町</v>
      </c>
      <c r="E493" s="161">
        <v>5</v>
      </c>
      <c r="F493" s="157" t="s">
        <v>1495</v>
      </c>
    </row>
    <row r="494" spans="1:6" ht="15" customHeight="1">
      <c r="A494" s="155">
        <v>9</v>
      </c>
      <c r="B494" s="161" t="s">
        <v>1443</v>
      </c>
      <c r="C494" s="162" t="s">
        <v>1496</v>
      </c>
      <c r="D494" s="162" t="str">
        <f t="shared" si="8"/>
        <v>栃木県矢板市</v>
      </c>
      <c r="E494" s="161">
        <v>5</v>
      </c>
      <c r="F494" s="157" t="s">
        <v>1497</v>
      </c>
    </row>
    <row r="495" spans="1:6" ht="15" customHeight="1">
      <c r="A495" s="155">
        <v>10</v>
      </c>
      <c r="B495" s="161" t="s">
        <v>1498</v>
      </c>
      <c r="C495" s="162" t="s">
        <v>1499</v>
      </c>
      <c r="D495" s="162" t="str">
        <f t="shared" si="8"/>
        <v>群馬県安中市</v>
      </c>
      <c r="E495" s="161">
        <v>5</v>
      </c>
      <c r="F495" s="157" t="s">
        <v>1500</v>
      </c>
    </row>
    <row r="496" spans="1:6" ht="15" customHeight="1">
      <c r="A496" s="155">
        <v>10</v>
      </c>
      <c r="B496" s="161" t="s">
        <v>1498</v>
      </c>
      <c r="C496" s="162" t="s">
        <v>1501</v>
      </c>
      <c r="D496" s="162" t="str">
        <f t="shared" si="8"/>
        <v>群馬県伊勢崎市</v>
      </c>
      <c r="E496" s="161">
        <v>6</v>
      </c>
      <c r="F496" s="157" t="s">
        <v>1502</v>
      </c>
    </row>
    <row r="497" spans="1:6" ht="15" customHeight="1">
      <c r="A497" s="155">
        <v>10</v>
      </c>
      <c r="B497" s="161" t="s">
        <v>1498</v>
      </c>
      <c r="C497" s="162" t="s">
        <v>1503</v>
      </c>
      <c r="D497" s="162" t="str">
        <f t="shared" si="8"/>
        <v>群馬県板倉町</v>
      </c>
      <c r="E497" s="161">
        <v>5</v>
      </c>
      <c r="F497" s="157" t="s">
        <v>1504</v>
      </c>
    </row>
    <row r="498" spans="1:6" ht="15" customHeight="1">
      <c r="A498" s="155">
        <v>10</v>
      </c>
      <c r="B498" s="161" t="s">
        <v>1498</v>
      </c>
      <c r="C498" s="162" t="s">
        <v>1505</v>
      </c>
      <c r="D498" s="162" t="str">
        <f t="shared" si="8"/>
        <v>群馬県上野村</v>
      </c>
      <c r="E498" s="161">
        <v>3</v>
      </c>
      <c r="F498" s="157" t="s">
        <v>1506</v>
      </c>
    </row>
    <row r="499" spans="1:6" ht="15" customHeight="1">
      <c r="A499" s="155">
        <v>10</v>
      </c>
      <c r="B499" s="161" t="s">
        <v>1498</v>
      </c>
      <c r="C499" s="162" t="s">
        <v>1507</v>
      </c>
      <c r="D499" s="162" t="str">
        <f t="shared" si="8"/>
        <v>群馬県邑楽町</v>
      </c>
      <c r="E499" s="161">
        <v>6</v>
      </c>
      <c r="F499" s="157" t="s">
        <v>1508</v>
      </c>
    </row>
    <row r="500" spans="1:6" ht="15" customHeight="1">
      <c r="A500" s="155">
        <v>10</v>
      </c>
      <c r="B500" s="161" t="s">
        <v>1498</v>
      </c>
      <c r="C500" s="162" t="s">
        <v>1509</v>
      </c>
      <c r="D500" s="162" t="str">
        <f t="shared" si="8"/>
        <v>群馬県大泉町</v>
      </c>
      <c r="E500" s="161">
        <v>6</v>
      </c>
      <c r="F500" s="157" t="s">
        <v>1510</v>
      </c>
    </row>
    <row r="501" spans="1:6" ht="15" customHeight="1">
      <c r="A501" s="155">
        <v>10</v>
      </c>
      <c r="B501" s="161" t="s">
        <v>1498</v>
      </c>
      <c r="C501" s="162" t="s">
        <v>1511</v>
      </c>
      <c r="D501" s="162" t="str">
        <f t="shared" si="8"/>
        <v>群馬県太田市</v>
      </c>
      <c r="E501" s="161">
        <v>6</v>
      </c>
      <c r="F501" s="157" t="s">
        <v>1512</v>
      </c>
    </row>
    <row r="502" spans="1:6" ht="15" customHeight="1">
      <c r="A502" s="155">
        <v>10</v>
      </c>
      <c r="B502" s="161" t="s">
        <v>1498</v>
      </c>
      <c r="C502" s="162" t="s">
        <v>1513</v>
      </c>
      <c r="D502" s="162" t="str">
        <f t="shared" si="8"/>
        <v>群馬県片品村</v>
      </c>
      <c r="E502" s="161">
        <v>2</v>
      </c>
      <c r="F502" s="157" t="s">
        <v>1514</v>
      </c>
    </row>
    <row r="503" spans="1:6" ht="15" customHeight="1">
      <c r="A503" s="155">
        <v>10</v>
      </c>
      <c r="B503" s="161" t="s">
        <v>1498</v>
      </c>
      <c r="C503" s="162" t="s">
        <v>1515</v>
      </c>
      <c r="D503" s="162" t="str">
        <f t="shared" si="8"/>
        <v>群馬県川場村</v>
      </c>
      <c r="E503" s="161">
        <v>3</v>
      </c>
      <c r="F503" s="157" t="s">
        <v>1516</v>
      </c>
    </row>
    <row r="504" spans="1:6" ht="15" customHeight="1">
      <c r="A504" s="155">
        <v>10</v>
      </c>
      <c r="B504" s="161" t="s">
        <v>1498</v>
      </c>
      <c r="C504" s="162" t="s">
        <v>1517</v>
      </c>
      <c r="D504" s="162" t="str">
        <f t="shared" si="8"/>
        <v>群馬県神流町</v>
      </c>
      <c r="E504" s="161">
        <v>4</v>
      </c>
      <c r="F504" s="157" t="s">
        <v>1518</v>
      </c>
    </row>
    <row r="505" spans="1:6" ht="15" customHeight="1">
      <c r="A505" s="155">
        <v>10</v>
      </c>
      <c r="B505" s="161" t="s">
        <v>1498</v>
      </c>
      <c r="C505" s="162" t="s">
        <v>1519</v>
      </c>
      <c r="D505" s="162" t="str">
        <f t="shared" si="8"/>
        <v>群馬県甘楽町</v>
      </c>
      <c r="E505" s="161">
        <v>5</v>
      </c>
      <c r="F505" s="157" t="s">
        <v>1520</v>
      </c>
    </row>
    <row r="506" spans="1:6" ht="15" customHeight="1">
      <c r="A506" s="155">
        <v>10</v>
      </c>
      <c r="B506" s="161" t="s">
        <v>1498</v>
      </c>
      <c r="C506" s="162" t="s">
        <v>1521</v>
      </c>
      <c r="D506" s="162" t="str">
        <f t="shared" si="8"/>
        <v>群馬県桐生市（旧桐生市に限る。）</v>
      </c>
      <c r="E506" s="161">
        <v>6</v>
      </c>
      <c r="F506" s="157" t="s">
        <v>1522</v>
      </c>
    </row>
    <row r="507" spans="1:6" ht="15" customHeight="1">
      <c r="A507" s="155">
        <v>10</v>
      </c>
      <c r="B507" s="161" t="s">
        <v>1498</v>
      </c>
      <c r="C507" s="162" t="s">
        <v>1523</v>
      </c>
      <c r="D507" s="162" t="str">
        <f t="shared" si="8"/>
        <v>群馬県桐生市(旧黒保根村に限る。)</v>
      </c>
      <c r="E507" s="161">
        <v>4</v>
      </c>
      <c r="F507" s="157" t="s">
        <v>1524</v>
      </c>
    </row>
    <row r="508" spans="1:6" ht="15" customHeight="1">
      <c r="A508" s="155">
        <v>10</v>
      </c>
      <c r="B508" s="161" t="s">
        <v>1498</v>
      </c>
      <c r="C508" s="162" t="s">
        <v>1525</v>
      </c>
      <c r="D508" s="162" t="str">
        <f t="shared" si="8"/>
        <v>群馬県桐生市(旧新里村に限る。)</v>
      </c>
      <c r="E508" s="161">
        <v>5</v>
      </c>
      <c r="F508" s="157" t="s">
        <v>1526</v>
      </c>
    </row>
    <row r="509" spans="1:6" ht="15" customHeight="1">
      <c r="A509" s="155">
        <v>10</v>
      </c>
      <c r="B509" s="161" t="s">
        <v>1498</v>
      </c>
      <c r="C509" s="162" t="s">
        <v>1527</v>
      </c>
      <c r="D509" s="162" t="str">
        <f t="shared" si="8"/>
        <v>群馬県草津町</v>
      </c>
      <c r="E509" s="161">
        <v>2</v>
      </c>
      <c r="F509" s="157" t="s">
        <v>1528</v>
      </c>
    </row>
    <row r="510" spans="1:6" ht="15" customHeight="1">
      <c r="A510" s="155">
        <v>10</v>
      </c>
      <c r="B510" s="161" t="s">
        <v>1498</v>
      </c>
      <c r="C510" s="162" t="s">
        <v>1529</v>
      </c>
      <c r="D510" s="162" t="str">
        <f t="shared" si="8"/>
        <v>群馬県渋川市</v>
      </c>
      <c r="E510" s="161">
        <v>5</v>
      </c>
      <c r="F510" s="157" t="s">
        <v>1530</v>
      </c>
    </row>
    <row r="511" spans="1:6" ht="15" customHeight="1">
      <c r="A511" s="155">
        <v>10</v>
      </c>
      <c r="B511" s="161" t="s">
        <v>1498</v>
      </c>
      <c r="C511" s="162" t="s">
        <v>1531</v>
      </c>
      <c r="D511" s="162" t="str">
        <f t="shared" si="8"/>
        <v>群馬県下仁田町</v>
      </c>
      <c r="E511" s="161">
        <v>5</v>
      </c>
      <c r="F511" s="157" t="s">
        <v>1532</v>
      </c>
    </row>
    <row r="512" spans="1:6" ht="15" customHeight="1">
      <c r="A512" s="155">
        <v>10</v>
      </c>
      <c r="B512" s="161" t="s">
        <v>1498</v>
      </c>
      <c r="C512" s="162" t="s">
        <v>1533</v>
      </c>
      <c r="D512" s="162" t="str">
        <f t="shared" si="8"/>
        <v>群馬県昭和村</v>
      </c>
      <c r="E512" s="161">
        <v>4</v>
      </c>
      <c r="F512" s="157" t="s">
        <v>1534</v>
      </c>
    </row>
    <row r="513" spans="1:6" ht="15" customHeight="1">
      <c r="A513" s="155">
        <v>10</v>
      </c>
      <c r="B513" s="161" t="s">
        <v>1498</v>
      </c>
      <c r="C513" s="162" t="s">
        <v>1535</v>
      </c>
      <c r="D513" s="162" t="str">
        <f t="shared" si="8"/>
        <v>群馬県榛東村</v>
      </c>
      <c r="E513" s="161">
        <v>5</v>
      </c>
      <c r="F513" s="157" t="s">
        <v>1536</v>
      </c>
    </row>
    <row r="514" spans="1:6" ht="15" customHeight="1">
      <c r="A514" s="155">
        <v>10</v>
      </c>
      <c r="B514" s="161" t="s">
        <v>1498</v>
      </c>
      <c r="C514" s="162" t="s">
        <v>1537</v>
      </c>
      <c r="D514" s="162" t="str">
        <f t="shared" si="8"/>
        <v>群馬県高崎市（旧倉渕村に限る。）</v>
      </c>
      <c r="E514" s="161">
        <v>4</v>
      </c>
      <c r="F514" s="157" t="s">
        <v>1538</v>
      </c>
    </row>
    <row r="515" spans="1:6" ht="15" customHeight="1">
      <c r="A515" s="155">
        <v>10</v>
      </c>
      <c r="B515" s="161" t="s">
        <v>1498</v>
      </c>
      <c r="C515" s="162" t="s">
        <v>1539</v>
      </c>
      <c r="D515" s="162" t="str">
        <f t="shared" si="8"/>
        <v>群馬県高崎市（旧倉渕村を除く。）</v>
      </c>
      <c r="E515" s="161">
        <v>6</v>
      </c>
      <c r="F515" s="157" t="s">
        <v>1540</v>
      </c>
    </row>
    <row r="516" spans="1:6" ht="15" customHeight="1">
      <c r="A516" s="155">
        <v>10</v>
      </c>
      <c r="B516" s="161" t="s">
        <v>1498</v>
      </c>
      <c r="C516" s="162" t="s">
        <v>1541</v>
      </c>
      <c r="D516" s="162" t="str">
        <f t="shared" ref="D516:D579" si="9">B516&amp;C516</f>
        <v>群馬県高山村</v>
      </c>
      <c r="E516" s="161">
        <v>3</v>
      </c>
      <c r="F516" s="157" t="s">
        <v>1542</v>
      </c>
    </row>
    <row r="517" spans="1:6" ht="15" customHeight="1">
      <c r="A517" s="155">
        <v>10</v>
      </c>
      <c r="B517" s="161" t="s">
        <v>1498</v>
      </c>
      <c r="C517" s="162" t="s">
        <v>1543</v>
      </c>
      <c r="D517" s="162" t="str">
        <f t="shared" si="9"/>
        <v>群馬県館林市</v>
      </c>
      <c r="E517" s="161">
        <v>6</v>
      </c>
      <c r="F517" s="157" t="s">
        <v>1544</v>
      </c>
    </row>
    <row r="518" spans="1:6" ht="15" customHeight="1">
      <c r="A518" s="155">
        <v>10</v>
      </c>
      <c r="B518" s="161" t="s">
        <v>1498</v>
      </c>
      <c r="C518" s="162" t="s">
        <v>1545</v>
      </c>
      <c r="D518" s="162" t="str">
        <f t="shared" si="9"/>
        <v>群馬県玉村町</v>
      </c>
      <c r="E518" s="161">
        <v>6</v>
      </c>
      <c r="F518" s="157" t="s">
        <v>1546</v>
      </c>
    </row>
    <row r="519" spans="1:6" ht="15" customHeight="1">
      <c r="A519" s="155">
        <v>10</v>
      </c>
      <c r="B519" s="161" t="s">
        <v>1498</v>
      </c>
      <c r="C519" s="162" t="s">
        <v>1547</v>
      </c>
      <c r="D519" s="162" t="str">
        <f t="shared" si="9"/>
        <v>群馬県千代田町</v>
      </c>
      <c r="E519" s="161">
        <v>6</v>
      </c>
      <c r="F519" s="157" t="s">
        <v>1548</v>
      </c>
    </row>
    <row r="520" spans="1:6" ht="15" customHeight="1">
      <c r="A520" s="155">
        <v>10</v>
      </c>
      <c r="B520" s="161" t="s">
        <v>1498</v>
      </c>
      <c r="C520" s="162" t="s">
        <v>1549</v>
      </c>
      <c r="D520" s="162" t="str">
        <f t="shared" si="9"/>
        <v>群馬県嬬恋村</v>
      </c>
      <c r="E520" s="161">
        <v>2</v>
      </c>
      <c r="F520" s="157" t="s">
        <v>1550</v>
      </c>
    </row>
    <row r="521" spans="1:6" ht="15" customHeight="1">
      <c r="A521" s="155">
        <v>10</v>
      </c>
      <c r="B521" s="161" t="s">
        <v>1498</v>
      </c>
      <c r="C521" s="162" t="s">
        <v>1551</v>
      </c>
      <c r="D521" s="162" t="str">
        <f t="shared" si="9"/>
        <v>群馬県富岡市</v>
      </c>
      <c r="E521" s="161">
        <v>5</v>
      </c>
      <c r="F521" s="157" t="s">
        <v>1552</v>
      </c>
    </row>
    <row r="522" spans="1:6" ht="15" customHeight="1">
      <c r="A522" s="155">
        <v>10</v>
      </c>
      <c r="B522" s="161" t="s">
        <v>1498</v>
      </c>
      <c r="C522" s="162" t="s">
        <v>1553</v>
      </c>
      <c r="D522" s="162" t="str">
        <f t="shared" si="9"/>
        <v>群馬県中之条町</v>
      </c>
      <c r="E522" s="161">
        <v>4</v>
      </c>
      <c r="F522" s="157" t="s">
        <v>1554</v>
      </c>
    </row>
    <row r="523" spans="1:6" ht="15" customHeight="1">
      <c r="A523" s="155">
        <v>10</v>
      </c>
      <c r="B523" s="161" t="s">
        <v>1498</v>
      </c>
      <c r="C523" s="162" t="s">
        <v>1555</v>
      </c>
      <c r="D523" s="162" t="str">
        <f t="shared" si="9"/>
        <v>群馬県長野原町</v>
      </c>
      <c r="E523" s="161">
        <v>3</v>
      </c>
      <c r="F523" s="157" t="s">
        <v>1556</v>
      </c>
    </row>
    <row r="524" spans="1:6" ht="15" customHeight="1">
      <c r="A524" s="155">
        <v>10</v>
      </c>
      <c r="B524" s="161" t="s">
        <v>1498</v>
      </c>
      <c r="C524" s="162" t="s">
        <v>1557</v>
      </c>
      <c r="D524" s="162" t="str">
        <f t="shared" si="9"/>
        <v>群馬県沼田市</v>
      </c>
      <c r="E524" s="161">
        <v>4</v>
      </c>
      <c r="F524" s="157" t="s">
        <v>1558</v>
      </c>
    </row>
    <row r="525" spans="1:6" ht="15" customHeight="1">
      <c r="A525" s="155">
        <v>10</v>
      </c>
      <c r="B525" s="161" t="s">
        <v>1498</v>
      </c>
      <c r="C525" s="162" t="s">
        <v>1559</v>
      </c>
      <c r="D525" s="162" t="str">
        <f t="shared" si="9"/>
        <v>群馬県東吾妻町</v>
      </c>
      <c r="E525" s="161">
        <v>4</v>
      </c>
      <c r="F525" s="157" t="s">
        <v>1560</v>
      </c>
    </row>
    <row r="526" spans="1:6" ht="15" customHeight="1">
      <c r="A526" s="155">
        <v>10</v>
      </c>
      <c r="B526" s="161" t="s">
        <v>1498</v>
      </c>
      <c r="C526" s="162" t="s">
        <v>1561</v>
      </c>
      <c r="D526" s="162" t="str">
        <f t="shared" si="9"/>
        <v>群馬県藤岡市</v>
      </c>
      <c r="E526" s="161">
        <v>6</v>
      </c>
      <c r="F526" s="157" t="s">
        <v>1562</v>
      </c>
    </row>
    <row r="527" spans="1:6" ht="15" customHeight="1">
      <c r="A527" s="155">
        <v>10</v>
      </c>
      <c r="B527" s="161" t="s">
        <v>1498</v>
      </c>
      <c r="C527" s="162" t="s">
        <v>1563</v>
      </c>
      <c r="D527" s="162" t="str">
        <f t="shared" si="9"/>
        <v>群馬県前橋市</v>
      </c>
      <c r="E527" s="161">
        <v>6</v>
      </c>
      <c r="F527" s="157" t="s">
        <v>1564</v>
      </c>
    </row>
    <row r="528" spans="1:6" ht="15" customHeight="1">
      <c r="A528" s="155">
        <v>10</v>
      </c>
      <c r="B528" s="161" t="s">
        <v>1498</v>
      </c>
      <c r="C528" s="162" t="s">
        <v>1565</v>
      </c>
      <c r="D528" s="162" t="str">
        <f t="shared" si="9"/>
        <v>群馬県みどり市</v>
      </c>
      <c r="E528" s="161">
        <v>5</v>
      </c>
      <c r="F528" s="157" t="s">
        <v>1566</v>
      </c>
    </row>
    <row r="529" spans="1:6" ht="15" customHeight="1">
      <c r="A529" s="155">
        <v>10</v>
      </c>
      <c r="B529" s="161" t="s">
        <v>1498</v>
      </c>
      <c r="C529" s="162" t="s">
        <v>1567</v>
      </c>
      <c r="D529" s="162" t="str">
        <f t="shared" si="9"/>
        <v>群馬県みなかみ町</v>
      </c>
      <c r="E529" s="161">
        <v>4</v>
      </c>
      <c r="F529" s="157" t="s">
        <v>1568</v>
      </c>
    </row>
    <row r="530" spans="1:6" ht="15" customHeight="1">
      <c r="A530" s="155">
        <v>10</v>
      </c>
      <c r="B530" s="161" t="s">
        <v>1498</v>
      </c>
      <c r="C530" s="162" t="s">
        <v>1569</v>
      </c>
      <c r="D530" s="162" t="str">
        <f t="shared" si="9"/>
        <v>群馬県南牧村</v>
      </c>
      <c r="E530" s="161">
        <v>4</v>
      </c>
      <c r="F530" s="157" t="s">
        <v>1570</v>
      </c>
    </row>
    <row r="531" spans="1:6" ht="15" customHeight="1">
      <c r="A531" s="155">
        <v>10</v>
      </c>
      <c r="B531" s="161" t="s">
        <v>1498</v>
      </c>
      <c r="C531" s="162" t="s">
        <v>1571</v>
      </c>
      <c r="D531" s="162" t="str">
        <f t="shared" si="9"/>
        <v>群馬県明和町</v>
      </c>
      <c r="E531" s="161">
        <v>6</v>
      </c>
      <c r="F531" s="157" t="s">
        <v>1572</v>
      </c>
    </row>
    <row r="532" spans="1:6" ht="15" customHeight="1">
      <c r="A532" s="155">
        <v>10</v>
      </c>
      <c r="B532" s="161" t="s">
        <v>1498</v>
      </c>
      <c r="C532" s="162" t="s">
        <v>1573</v>
      </c>
      <c r="D532" s="162" t="str">
        <f t="shared" si="9"/>
        <v>群馬県吉岡町</v>
      </c>
      <c r="E532" s="161">
        <v>5</v>
      </c>
      <c r="F532" s="157" t="s">
        <v>1574</v>
      </c>
    </row>
    <row r="533" spans="1:6" ht="15" customHeight="1">
      <c r="A533" s="155">
        <v>11</v>
      </c>
      <c r="B533" s="161" t="s">
        <v>1575</v>
      </c>
      <c r="C533" s="162" t="s">
        <v>1576</v>
      </c>
      <c r="D533" s="162" t="str">
        <f t="shared" si="9"/>
        <v>埼玉県上尾市</v>
      </c>
      <c r="E533" s="161">
        <v>6</v>
      </c>
      <c r="F533" s="157" t="s">
        <v>1577</v>
      </c>
    </row>
    <row r="534" spans="1:6" ht="15" customHeight="1">
      <c r="A534" s="155">
        <v>11</v>
      </c>
      <c r="B534" s="161" t="s">
        <v>1575</v>
      </c>
      <c r="C534" s="162" t="s">
        <v>1578</v>
      </c>
      <c r="D534" s="162" t="str">
        <f t="shared" si="9"/>
        <v>埼玉県朝霞市</v>
      </c>
      <c r="E534" s="161">
        <v>6</v>
      </c>
      <c r="F534" s="157" t="s">
        <v>1579</v>
      </c>
    </row>
    <row r="535" spans="1:6" ht="15" customHeight="1">
      <c r="A535" s="155">
        <v>11</v>
      </c>
      <c r="B535" s="161" t="s">
        <v>1575</v>
      </c>
      <c r="C535" s="162" t="s">
        <v>1580</v>
      </c>
      <c r="D535" s="162" t="str">
        <f t="shared" si="9"/>
        <v>埼玉県伊奈町</v>
      </c>
      <c r="E535" s="161">
        <v>6</v>
      </c>
      <c r="F535" s="157" t="s">
        <v>1581</v>
      </c>
    </row>
    <row r="536" spans="1:6" ht="15" customHeight="1">
      <c r="A536" s="155">
        <v>11</v>
      </c>
      <c r="B536" s="161" t="s">
        <v>1575</v>
      </c>
      <c r="C536" s="162" t="s">
        <v>1582</v>
      </c>
      <c r="D536" s="162" t="str">
        <f t="shared" si="9"/>
        <v>埼玉県入間市</v>
      </c>
      <c r="E536" s="161">
        <v>6</v>
      </c>
      <c r="F536" s="157" t="s">
        <v>1583</v>
      </c>
    </row>
    <row r="537" spans="1:6" ht="15" customHeight="1">
      <c r="A537" s="155">
        <v>11</v>
      </c>
      <c r="B537" s="161" t="s">
        <v>1575</v>
      </c>
      <c r="C537" s="162" t="s">
        <v>1584</v>
      </c>
      <c r="D537" s="162" t="str">
        <f t="shared" si="9"/>
        <v>埼玉県小鹿野町</v>
      </c>
      <c r="E537" s="161">
        <v>5</v>
      </c>
      <c r="F537" s="157" t="s">
        <v>1585</v>
      </c>
    </row>
    <row r="538" spans="1:6" ht="15" customHeight="1">
      <c r="A538" s="155">
        <v>11</v>
      </c>
      <c r="B538" s="161" t="s">
        <v>1575</v>
      </c>
      <c r="C538" s="162" t="s">
        <v>1586</v>
      </c>
      <c r="D538" s="162" t="str">
        <f t="shared" si="9"/>
        <v>埼玉県小川町</v>
      </c>
      <c r="E538" s="161">
        <v>5</v>
      </c>
      <c r="F538" s="157" t="s">
        <v>1587</v>
      </c>
    </row>
    <row r="539" spans="1:6" ht="15" customHeight="1">
      <c r="A539" s="155">
        <v>11</v>
      </c>
      <c r="B539" s="161" t="s">
        <v>1575</v>
      </c>
      <c r="C539" s="162" t="s">
        <v>1588</v>
      </c>
      <c r="D539" s="162" t="str">
        <f t="shared" si="9"/>
        <v>埼玉県桶川市</v>
      </c>
      <c r="E539" s="161">
        <v>6</v>
      </c>
      <c r="F539" s="157" t="s">
        <v>1589</v>
      </c>
    </row>
    <row r="540" spans="1:6" ht="15" customHeight="1">
      <c r="A540" s="155">
        <v>11</v>
      </c>
      <c r="B540" s="161" t="s">
        <v>1575</v>
      </c>
      <c r="C540" s="162" t="s">
        <v>1590</v>
      </c>
      <c r="D540" s="162" t="str">
        <f t="shared" si="9"/>
        <v>埼玉県越生町</v>
      </c>
      <c r="E540" s="161">
        <v>5</v>
      </c>
      <c r="F540" s="157" t="s">
        <v>1591</v>
      </c>
    </row>
    <row r="541" spans="1:6" ht="15" customHeight="1">
      <c r="A541" s="155">
        <v>11</v>
      </c>
      <c r="B541" s="161" t="s">
        <v>1575</v>
      </c>
      <c r="C541" s="162" t="s">
        <v>1592</v>
      </c>
      <c r="D541" s="162" t="str">
        <f t="shared" si="9"/>
        <v>埼玉県春日部市</v>
      </c>
      <c r="E541" s="161">
        <v>6</v>
      </c>
      <c r="F541" s="157" t="s">
        <v>1593</v>
      </c>
    </row>
    <row r="542" spans="1:6" ht="15" customHeight="1">
      <c r="A542" s="155">
        <v>11</v>
      </c>
      <c r="B542" s="161" t="s">
        <v>1575</v>
      </c>
      <c r="C542" s="162" t="s">
        <v>1594</v>
      </c>
      <c r="D542" s="162" t="str">
        <f t="shared" si="9"/>
        <v>埼玉県加須市</v>
      </c>
      <c r="E542" s="161">
        <v>6</v>
      </c>
      <c r="F542" s="157" t="s">
        <v>1595</v>
      </c>
    </row>
    <row r="543" spans="1:6" ht="15" customHeight="1">
      <c r="A543" s="155">
        <v>11</v>
      </c>
      <c r="B543" s="161" t="s">
        <v>1575</v>
      </c>
      <c r="C543" s="162" t="s">
        <v>1596</v>
      </c>
      <c r="D543" s="162" t="str">
        <f t="shared" si="9"/>
        <v>埼玉県神川町</v>
      </c>
      <c r="E543" s="161">
        <v>5</v>
      </c>
      <c r="F543" s="157" t="s">
        <v>1597</v>
      </c>
    </row>
    <row r="544" spans="1:6" ht="15" customHeight="1">
      <c r="A544" s="155">
        <v>11</v>
      </c>
      <c r="B544" s="161" t="s">
        <v>1575</v>
      </c>
      <c r="C544" s="162" t="s">
        <v>1598</v>
      </c>
      <c r="D544" s="162" t="str">
        <f t="shared" si="9"/>
        <v>埼玉県上里町</v>
      </c>
      <c r="E544" s="161">
        <v>6</v>
      </c>
      <c r="F544" s="157" t="s">
        <v>1599</v>
      </c>
    </row>
    <row r="545" spans="1:6" ht="15" customHeight="1">
      <c r="A545" s="155">
        <v>11</v>
      </c>
      <c r="B545" s="161" t="s">
        <v>1575</v>
      </c>
      <c r="C545" s="162" t="s">
        <v>1600</v>
      </c>
      <c r="D545" s="162" t="str">
        <f t="shared" si="9"/>
        <v>埼玉県川口市</v>
      </c>
      <c r="E545" s="161">
        <v>6</v>
      </c>
      <c r="F545" s="157" t="s">
        <v>1601</v>
      </c>
    </row>
    <row r="546" spans="1:6" ht="15" customHeight="1">
      <c r="A546" s="155">
        <v>11</v>
      </c>
      <c r="B546" s="161" t="s">
        <v>1575</v>
      </c>
      <c r="C546" s="162" t="s">
        <v>1602</v>
      </c>
      <c r="D546" s="162" t="str">
        <f t="shared" si="9"/>
        <v>埼玉県川越市</v>
      </c>
      <c r="E546" s="161">
        <v>6</v>
      </c>
      <c r="F546" s="157" t="s">
        <v>1603</v>
      </c>
    </row>
    <row r="547" spans="1:6" ht="15" customHeight="1">
      <c r="A547" s="155">
        <v>11</v>
      </c>
      <c r="B547" s="161" t="s">
        <v>1575</v>
      </c>
      <c r="C547" s="162" t="s">
        <v>1604</v>
      </c>
      <c r="D547" s="162" t="str">
        <f t="shared" si="9"/>
        <v>埼玉県川島町</v>
      </c>
      <c r="E547" s="161">
        <v>5</v>
      </c>
      <c r="F547" s="157" t="s">
        <v>1605</v>
      </c>
    </row>
    <row r="548" spans="1:6" ht="15" customHeight="1">
      <c r="A548" s="155">
        <v>11</v>
      </c>
      <c r="B548" s="161" t="s">
        <v>1575</v>
      </c>
      <c r="C548" s="162" t="s">
        <v>1606</v>
      </c>
      <c r="D548" s="162" t="str">
        <f t="shared" si="9"/>
        <v>埼玉県北本市</v>
      </c>
      <c r="E548" s="161">
        <v>6</v>
      </c>
      <c r="F548" s="157" t="s">
        <v>1607</v>
      </c>
    </row>
    <row r="549" spans="1:6" ht="15" customHeight="1">
      <c r="A549" s="155">
        <v>11</v>
      </c>
      <c r="B549" s="161" t="s">
        <v>1575</v>
      </c>
      <c r="C549" s="162" t="s">
        <v>1608</v>
      </c>
      <c r="D549" s="162" t="str">
        <f t="shared" si="9"/>
        <v>埼玉県行田市</v>
      </c>
      <c r="E549" s="161">
        <v>6</v>
      </c>
      <c r="F549" s="157" t="s">
        <v>1609</v>
      </c>
    </row>
    <row r="550" spans="1:6" ht="15" customHeight="1">
      <c r="A550" s="155">
        <v>11</v>
      </c>
      <c r="B550" s="161" t="s">
        <v>1575</v>
      </c>
      <c r="C550" s="162" t="s">
        <v>1610</v>
      </c>
      <c r="D550" s="162" t="str">
        <f t="shared" si="9"/>
        <v>埼玉県久喜市</v>
      </c>
      <c r="E550" s="161">
        <v>6</v>
      </c>
      <c r="F550" s="157" t="s">
        <v>1611</v>
      </c>
    </row>
    <row r="551" spans="1:6" ht="15" customHeight="1">
      <c r="A551" s="155">
        <v>11</v>
      </c>
      <c r="B551" s="161" t="s">
        <v>1575</v>
      </c>
      <c r="C551" s="162" t="s">
        <v>1612</v>
      </c>
      <c r="D551" s="162" t="str">
        <f t="shared" si="9"/>
        <v>埼玉県熊谷市</v>
      </c>
      <c r="E551" s="161">
        <v>6</v>
      </c>
      <c r="F551" s="157" t="s">
        <v>1613</v>
      </c>
    </row>
    <row r="552" spans="1:6" ht="15" customHeight="1">
      <c r="A552" s="155">
        <v>11</v>
      </c>
      <c r="B552" s="161" t="s">
        <v>1575</v>
      </c>
      <c r="C552" s="162" t="s">
        <v>1614</v>
      </c>
      <c r="D552" s="162" t="str">
        <f t="shared" si="9"/>
        <v>埼玉県鴻巣市</v>
      </c>
      <c r="E552" s="161">
        <v>6</v>
      </c>
      <c r="F552" s="157" t="s">
        <v>1615</v>
      </c>
    </row>
    <row r="553" spans="1:6" ht="15" customHeight="1">
      <c r="A553" s="155">
        <v>11</v>
      </c>
      <c r="B553" s="161" t="s">
        <v>1575</v>
      </c>
      <c r="C553" s="162" t="s">
        <v>1616</v>
      </c>
      <c r="D553" s="162" t="str">
        <f t="shared" si="9"/>
        <v>埼玉県越谷市</v>
      </c>
      <c r="E553" s="161">
        <v>6</v>
      </c>
      <c r="F553" s="157" t="s">
        <v>1617</v>
      </c>
    </row>
    <row r="554" spans="1:6" ht="15" customHeight="1">
      <c r="A554" s="155">
        <v>11</v>
      </c>
      <c r="B554" s="161" t="s">
        <v>1575</v>
      </c>
      <c r="C554" s="162" t="s">
        <v>1618</v>
      </c>
      <c r="D554" s="162" t="str">
        <f t="shared" si="9"/>
        <v>埼玉県さいたま市</v>
      </c>
      <c r="E554" s="161">
        <v>6</v>
      </c>
      <c r="F554" s="157" t="s">
        <v>1619</v>
      </c>
    </row>
    <row r="555" spans="1:6" ht="15" customHeight="1">
      <c r="A555" s="155">
        <v>11</v>
      </c>
      <c r="B555" s="161" t="s">
        <v>1575</v>
      </c>
      <c r="C555" s="162" t="s">
        <v>1620</v>
      </c>
      <c r="D555" s="162" t="str">
        <f t="shared" si="9"/>
        <v>埼玉県坂戸市</v>
      </c>
      <c r="E555" s="161">
        <v>6</v>
      </c>
      <c r="F555" s="157" t="s">
        <v>1621</v>
      </c>
    </row>
    <row r="556" spans="1:6" ht="15" customHeight="1">
      <c r="A556" s="155">
        <v>11</v>
      </c>
      <c r="B556" s="161" t="s">
        <v>1575</v>
      </c>
      <c r="C556" s="162" t="s">
        <v>1622</v>
      </c>
      <c r="D556" s="162" t="str">
        <f t="shared" si="9"/>
        <v>埼玉県幸手市</v>
      </c>
      <c r="E556" s="161">
        <v>6</v>
      </c>
      <c r="F556" s="157" t="s">
        <v>1623</v>
      </c>
    </row>
    <row r="557" spans="1:6" ht="15" customHeight="1">
      <c r="A557" s="155">
        <v>11</v>
      </c>
      <c r="B557" s="161" t="s">
        <v>1575</v>
      </c>
      <c r="C557" s="162" t="s">
        <v>1624</v>
      </c>
      <c r="D557" s="162" t="str">
        <f t="shared" si="9"/>
        <v>埼玉県狭山市</v>
      </c>
      <c r="E557" s="161">
        <v>6</v>
      </c>
      <c r="F557" s="157" t="s">
        <v>1625</v>
      </c>
    </row>
    <row r="558" spans="1:6" ht="15" customHeight="1">
      <c r="A558" s="155">
        <v>11</v>
      </c>
      <c r="B558" s="161" t="s">
        <v>1575</v>
      </c>
      <c r="C558" s="162" t="s">
        <v>1626</v>
      </c>
      <c r="D558" s="162" t="str">
        <f t="shared" si="9"/>
        <v>埼玉県志木市</v>
      </c>
      <c r="E558" s="161">
        <v>6</v>
      </c>
      <c r="F558" s="157" t="s">
        <v>1627</v>
      </c>
    </row>
    <row r="559" spans="1:6" ht="15" customHeight="1">
      <c r="A559" s="155">
        <v>11</v>
      </c>
      <c r="B559" s="161" t="s">
        <v>1575</v>
      </c>
      <c r="C559" s="162" t="s">
        <v>1628</v>
      </c>
      <c r="D559" s="162" t="str">
        <f t="shared" si="9"/>
        <v>埼玉県白岡市</v>
      </c>
      <c r="E559" s="161">
        <v>6</v>
      </c>
      <c r="F559" s="157" t="s">
        <v>1629</v>
      </c>
    </row>
    <row r="560" spans="1:6" ht="15" customHeight="1">
      <c r="A560" s="155">
        <v>11</v>
      </c>
      <c r="B560" s="161" t="s">
        <v>1575</v>
      </c>
      <c r="C560" s="162" t="s">
        <v>1630</v>
      </c>
      <c r="D560" s="162" t="str">
        <f t="shared" si="9"/>
        <v>埼玉県杉戸町</v>
      </c>
      <c r="E560" s="161">
        <v>6</v>
      </c>
      <c r="F560" s="157" t="s">
        <v>1631</v>
      </c>
    </row>
    <row r="561" spans="1:6" ht="15" customHeight="1">
      <c r="A561" s="155">
        <v>11</v>
      </c>
      <c r="B561" s="161" t="s">
        <v>1575</v>
      </c>
      <c r="C561" s="162" t="s">
        <v>1632</v>
      </c>
      <c r="D561" s="162" t="str">
        <f t="shared" si="9"/>
        <v>埼玉県草加市</v>
      </c>
      <c r="E561" s="161">
        <v>6</v>
      </c>
      <c r="F561" s="157" t="s">
        <v>1633</v>
      </c>
    </row>
    <row r="562" spans="1:6" ht="15" customHeight="1">
      <c r="A562" s="155">
        <v>11</v>
      </c>
      <c r="B562" s="161" t="s">
        <v>1575</v>
      </c>
      <c r="C562" s="162" t="s">
        <v>1634</v>
      </c>
      <c r="D562" s="162" t="str">
        <f t="shared" si="9"/>
        <v>埼玉県秩父市(旧大滝村に限る。)</v>
      </c>
      <c r="E562" s="161">
        <v>4</v>
      </c>
      <c r="F562" s="157" t="s">
        <v>1635</v>
      </c>
    </row>
    <row r="563" spans="1:6" ht="15" customHeight="1">
      <c r="A563" s="155">
        <v>11</v>
      </c>
      <c r="B563" s="161" t="s">
        <v>1575</v>
      </c>
      <c r="C563" s="162" t="s">
        <v>1636</v>
      </c>
      <c r="D563" s="162" t="str">
        <f t="shared" si="9"/>
        <v>埼玉県秩父市(旧秩父市、旧吉田町、旧荒川村に限る。)</v>
      </c>
      <c r="E563" s="161">
        <v>5</v>
      </c>
      <c r="F563" s="157" t="s">
        <v>1637</v>
      </c>
    </row>
    <row r="564" spans="1:6" ht="15" customHeight="1">
      <c r="A564" s="155">
        <v>11</v>
      </c>
      <c r="B564" s="161" t="s">
        <v>1575</v>
      </c>
      <c r="C564" s="162" t="s">
        <v>1638</v>
      </c>
      <c r="D564" s="162" t="str">
        <f t="shared" si="9"/>
        <v>埼玉県鶴ヶ島市</v>
      </c>
      <c r="E564" s="161">
        <v>6</v>
      </c>
      <c r="F564" s="157" t="s">
        <v>1639</v>
      </c>
    </row>
    <row r="565" spans="1:6" ht="15" customHeight="1">
      <c r="A565" s="155">
        <v>11</v>
      </c>
      <c r="B565" s="161" t="s">
        <v>1575</v>
      </c>
      <c r="C565" s="162" t="s">
        <v>1640</v>
      </c>
      <c r="D565" s="162" t="str">
        <f t="shared" si="9"/>
        <v>埼玉県ときがわ町</v>
      </c>
      <c r="E565" s="161">
        <v>5</v>
      </c>
      <c r="F565" s="157" t="s">
        <v>1641</v>
      </c>
    </row>
    <row r="566" spans="1:6" ht="15" customHeight="1">
      <c r="A566" s="155">
        <v>11</v>
      </c>
      <c r="B566" s="161" t="s">
        <v>1575</v>
      </c>
      <c r="C566" s="162" t="s">
        <v>1642</v>
      </c>
      <c r="D566" s="162" t="str">
        <f t="shared" si="9"/>
        <v>埼玉県所沢市</v>
      </c>
      <c r="E566" s="161">
        <v>6</v>
      </c>
      <c r="F566" s="157" t="s">
        <v>1643</v>
      </c>
    </row>
    <row r="567" spans="1:6" ht="15" customHeight="1">
      <c r="A567" s="155">
        <v>11</v>
      </c>
      <c r="B567" s="161" t="s">
        <v>1575</v>
      </c>
      <c r="C567" s="162" t="s">
        <v>1644</v>
      </c>
      <c r="D567" s="162" t="str">
        <f t="shared" si="9"/>
        <v>埼玉県戸田市</v>
      </c>
      <c r="E567" s="161">
        <v>6</v>
      </c>
      <c r="F567" s="157" t="s">
        <v>1645</v>
      </c>
    </row>
    <row r="568" spans="1:6" ht="15" customHeight="1">
      <c r="A568" s="155">
        <v>11</v>
      </c>
      <c r="B568" s="161" t="s">
        <v>1575</v>
      </c>
      <c r="C568" s="162" t="s">
        <v>1646</v>
      </c>
      <c r="D568" s="162" t="str">
        <f t="shared" si="9"/>
        <v>埼玉県長瀞町</v>
      </c>
      <c r="E568" s="161">
        <v>5</v>
      </c>
      <c r="F568" s="157" t="s">
        <v>1647</v>
      </c>
    </row>
    <row r="569" spans="1:6" ht="15" customHeight="1">
      <c r="A569" s="155">
        <v>11</v>
      </c>
      <c r="B569" s="161" t="s">
        <v>1575</v>
      </c>
      <c r="C569" s="162" t="s">
        <v>1648</v>
      </c>
      <c r="D569" s="162" t="str">
        <f t="shared" si="9"/>
        <v>埼玉県滑川町</v>
      </c>
      <c r="E569" s="161">
        <v>5</v>
      </c>
      <c r="F569" s="157" t="s">
        <v>1649</v>
      </c>
    </row>
    <row r="570" spans="1:6" ht="15" customHeight="1">
      <c r="A570" s="155">
        <v>11</v>
      </c>
      <c r="B570" s="161" t="s">
        <v>1575</v>
      </c>
      <c r="C570" s="162" t="s">
        <v>1650</v>
      </c>
      <c r="D570" s="162" t="str">
        <f t="shared" si="9"/>
        <v>埼玉県新座市</v>
      </c>
      <c r="E570" s="161">
        <v>6</v>
      </c>
      <c r="F570" s="157" t="s">
        <v>1651</v>
      </c>
    </row>
    <row r="571" spans="1:6" ht="15" customHeight="1">
      <c r="A571" s="155">
        <v>11</v>
      </c>
      <c r="B571" s="161" t="s">
        <v>1575</v>
      </c>
      <c r="C571" s="162" t="s">
        <v>1652</v>
      </c>
      <c r="D571" s="162" t="str">
        <f t="shared" si="9"/>
        <v>埼玉県蓮田市</v>
      </c>
      <c r="E571" s="161">
        <v>6</v>
      </c>
      <c r="F571" s="157" t="s">
        <v>1653</v>
      </c>
    </row>
    <row r="572" spans="1:6" ht="15" customHeight="1">
      <c r="A572" s="155">
        <v>11</v>
      </c>
      <c r="B572" s="161" t="s">
        <v>1575</v>
      </c>
      <c r="C572" s="162" t="s">
        <v>1654</v>
      </c>
      <c r="D572" s="162" t="str">
        <f t="shared" si="9"/>
        <v>埼玉県鳩山町</v>
      </c>
      <c r="E572" s="161">
        <v>5</v>
      </c>
      <c r="F572" s="157" t="s">
        <v>1655</v>
      </c>
    </row>
    <row r="573" spans="1:6" ht="15" customHeight="1">
      <c r="A573" s="155">
        <v>11</v>
      </c>
      <c r="B573" s="161" t="s">
        <v>1575</v>
      </c>
      <c r="C573" s="162" t="s">
        <v>1656</v>
      </c>
      <c r="D573" s="162" t="str">
        <f t="shared" si="9"/>
        <v>埼玉県羽生市</v>
      </c>
      <c r="E573" s="161">
        <v>6</v>
      </c>
      <c r="F573" s="157" t="s">
        <v>1657</v>
      </c>
    </row>
    <row r="574" spans="1:6" ht="15" customHeight="1">
      <c r="A574" s="155">
        <v>11</v>
      </c>
      <c r="B574" s="161" t="s">
        <v>1575</v>
      </c>
      <c r="C574" s="162" t="s">
        <v>1658</v>
      </c>
      <c r="D574" s="162" t="str">
        <f t="shared" si="9"/>
        <v>埼玉県飯能市</v>
      </c>
      <c r="E574" s="161">
        <v>5</v>
      </c>
      <c r="F574" s="157" t="s">
        <v>1659</v>
      </c>
    </row>
    <row r="575" spans="1:6" ht="15" customHeight="1">
      <c r="A575" s="155">
        <v>11</v>
      </c>
      <c r="B575" s="161" t="s">
        <v>1575</v>
      </c>
      <c r="C575" s="162" t="s">
        <v>1660</v>
      </c>
      <c r="D575" s="162" t="str">
        <f t="shared" si="9"/>
        <v>埼玉県東秩父村</v>
      </c>
      <c r="E575" s="161">
        <v>5</v>
      </c>
      <c r="F575" s="157" t="s">
        <v>1661</v>
      </c>
    </row>
    <row r="576" spans="1:6" ht="15" customHeight="1">
      <c r="A576" s="155">
        <v>11</v>
      </c>
      <c r="B576" s="161" t="s">
        <v>1575</v>
      </c>
      <c r="C576" s="162" t="s">
        <v>1662</v>
      </c>
      <c r="D576" s="162" t="str">
        <f t="shared" si="9"/>
        <v>埼玉県東松山市</v>
      </c>
      <c r="E576" s="161">
        <v>6</v>
      </c>
      <c r="F576" s="157" t="s">
        <v>1663</v>
      </c>
    </row>
    <row r="577" spans="1:6" ht="15" customHeight="1">
      <c r="A577" s="155">
        <v>11</v>
      </c>
      <c r="B577" s="161" t="s">
        <v>1575</v>
      </c>
      <c r="C577" s="162" t="s">
        <v>1664</v>
      </c>
      <c r="D577" s="162" t="str">
        <f t="shared" si="9"/>
        <v>埼玉県日高市</v>
      </c>
      <c r="E577" s="161">
        <v>5</v>
      </c>
      <c r="F577" s="157" t="s">
        <v>1665</v>
      </c>
    </row>
    <row r="578" spans="1:6" ht="15" customHeight="1">
      <c r="A578" s="155">
        <v>11</v>
      </c>
      <c r="B578" s="161" t="s">
        <v>1575</v>
      </c>
      <c r="C578" s="162" t="s">
        <v>1666</v>
      </c>
      <c r="D578" s="162" t="str">
        <f t="shared" si="9"/>
        <v>埼玉県深谷市</v>
      </c>
      <c r="E578" s="161">
        <v>6</v>
      </c>
      <c r="F578" s="157" t="s">
        <v>1667</v>
      </c>
    </row>
    <row r="579" spans="1:6" ht="15" customHeight="1">
      <c r="A579" s="155">
        <v>11</v>
      </c>
      <c r="B579" s="161" t="s">
        <v>1575</v>
      </c>
      <c r="C579" s="162" t="s">
        <v>1668</v>
      </c>
      <c r="D579" s="162" t="str">
        <f t="shared" si="9"/>
        <v>埼玉県富士見市</v>
      </c>
      <c r="E579" s="161">
        <v>6</v>
      </c>
      <c r="F579" s="157" t="s">
        <v>1669</v>
      </c>
    </row>
    <row r="580" spans="1:6" ht="15" customHeight="1">
      <c r="A580" s="155">
        <v>11</v>
      </c>
      <c r="B580" s="161" t="s">
        <v>1575</v>
      </c>
      <c r="C580" s="162" t="s">
        <v>1670</v>
      </c>
      <c r="D580" s="162" t="str">
        <f t="shared" ref="D580:D643" si="10">B580&amp;C580</f>
        <v>埼玉県ふじみ野市</v>
      </c>
      <c r="E580" s="161">
        <v>6</v>
      </c>
      <c r="F580" s="157" t="s">
        <v>1671</v>
      </c>
    </row>
    <row r="581" spans="1:6" ht="15" customHeight="1">
      <c r="A581" s="155">
        <v>11</v>
      </c>
      <c r="B581" s="161" t="s">
        <v>1575</v>
      </c>
      <c r="C581" s="162" t="s">
        <v>1672</v>
      </c>
      <c r="D581" s="162" t="str">
        <f t="shared" si="10"/>
        <v>埼玉県本庄市</v>
      </c>
      <c r="E581" s="161">
        <v>6</v>
      </c>
      <c r="F581" s="157" t="s">
        <v>1673</v>
      </c>
    </row>
    <row r="582" spans="1:6" ht="15" customHeight="1">
      <c r="A582" s="155">
        <v>11</v>
      </c>
      <c r="B582" s="161" t="s">
        <v>1575</v>
      </c>
      <c r="C582" s="162" t="s">
        <v>1674</v>
      </c>
      <c r="D582" s="162" t="str">
        <f t="shared" si="10"/>
        <v>埼玉県三郷市</v>
      </c>
      <c r="E582" s="161">
        <v>6</v>
      </c>
      <c r="F582" s="157" t="s">
        <v>1675</v>
      </c>
    </row>
    <row r="583" spans="1:6" ht="15" customHeight="1">
      <c r="A583" s="155">
        <v>11</v>
      </c>
      <c r="B583" s="161" t="s">
        <v>1575</v>
      </c>
      <c r="C583" s="162" t="s">
        <v>1147</v>
      </c>
      <c r="D583" s="162" t="str">
        <f t="shared" si="10"/>
        <v>埼玉県美里町</v>
      </c>
      <c r="E583" s="161">
        <v>5</v>
      </c>
      <c r="F583" s="157" t="s">
        <v>1148</v>
      </c>
    </row>
    <row r="584" spans="1:6" ht="15" customHeight="1">
      <c r="A584" s="155">
        <v>11</v>
      </c>
      <c r="B584" s="161" t="s">
        <v>1575</v>
      </c>
      <c r="C584" s="162" t="s">
        <v>1676</v>
      </c>
      <c r="D584" s="162" t="str">
        <f t="shared" si="10"/>
        <v>埼玉県皆野町</v>
      </c>
      <c r="E584" s="161">
        <v>5</v>
      </c>
      <c r="F584" s="157" t="s">
        <v>1677</v>
      </c>
    </row>
    <row r="585" spans="1:6" ht="15" customHeight="1">
      <c r="A585" s="155">
        <v>11</v>
      </c>
      <c r="B585" s="161" t="s">
        <v>1575</v>
      </c>
      <c r="C585" s="162" t="s">
        <v>1678</v>
      </c>
      <c r="D585" s="162" t="str">
        <f t="shared" si="10"/>
        <v>埼玉県宮代町</v>
      </c>
      <c r="E585" s="161">
        <v>6</v>
      </c>
      <c r="F585" s="157" t="s">
        <v>1679</v>
      </c>
    </row>
    <row r="586" spans="1:6" ht="15" customHeight="1">
      <c r="A586" s="155">
        <v>11</v>
      </c>
      <c r="B586" s="161" t="s">
        <v>1575</v>
      </c>
      <c r="C586" s="162" t="s">
        <v>1680</v>
      </c>
      <c r="D586" s="162" t="str">
        <f t="shared" si="10"/>
        <v>埼玉県三芳町</v>
      </c>
      <c r="E586" s="161">
        <v>6</v>
      </c>
      <c r="F586" s="157" t="s">
        <v>1681</v>
      </c>
    </row>
    <row r="587" spans="1:6" ht="15" customHeight="1">
      <c r="A587" s="155">
        <v>11</v>
      </c>
      <c r="B587" s="161" t="s">
        <v>1575</v>
      </c>
      <c r="C587" s="162" t="s">
        <v>1682</v>
      </c>
      <c r="D587" s="162" t="str">
        <f t="shared" si="10"/>
        <v>埼玉県毛呂山町</v>
      </c>
      <c r="E587" s="161">
        <v>5</v>
      </c>
      <c r="F587" s="157" t="s">
        <v>1683</v>
      </c>
    </row>
    <row r="588" spans="1:6" ht="15" customHeight="1">
      <c r="A588" s="155">
        <v>11</v>
      </c>
      <c r="B588" s="161" t="s">
        <v>1575</v>
      </c>
      <c r="C588" s="162" t="s">
        <v>1684</v>
      </c>
      <c r="D588" s="162" t="str">
        <f t="shared" si="10"/>
        <v>埼玉県八潮市</v>
      </c>
      <c r="E588" s="161">
        <v>6</v>
      </c>
      <c r="F588" s="157" t="s">
        <v>1685</v>
      </c>
    </row>
    <row r="589" spans="1:6" ht="15" customHeight="1">
      <c r="A589" s="155">
        <v>11</v>
      </c>
      <c r="B589" s="161" t="s">
        <v>1575</v>
      </c>
      <c r="C589" s="162" t="s">
        <v>1686</v>
      </c>
      <c r="D589" s="162" t="str">
        <f t="shared" si="10"/>
        <v>埼玉県横瀬町</v>
      </c>
      <c r="E589" s="161">
        <v>5</v>
      </c>
      <c r="F589" s="157" t="s">
        <v>1687</v>
      </c>
    </row>
    <row r="590" spans="1:6" ht="15" customHeight="1">
      <c r="A590" s="155">
        <v>11</v>
      </c>
      <c r="B590" s="161" t="s">
        <v>1575</v>
      </c>
      <c r="C590" s="162" t="s">
        <v>1688</v>
      </c>
      <c r="D590" s="162" t="str">
        <f t="shared" si="10"/>
        <v>埼玉県吉川市</v>
      </c>
      <c r="E590" s="161">
        <v>6</v>
      </c>
      <c r="F590" s="157" t="s">
        <v>1689</v>
      </c>
    </row>
    <row r="591" spans="1:6" ht="15" customHeight="1">
      <c r="A591" s="155">
        <v>11</v>
      </c>
      <c r="B591" s="161" t="s">
        <v>1575</v>
      </c>
      <c r="C591" s="162" t="s">
        <v>1690</v>
      </c>
      <c r="D591" s="162" t="str">
        <f t="shared" si="10"/>
        <v>埼玉県吉見町</v>
      </c>
      <c r="E591" s="161">
        <v>5</v>
      </c>
      <c r="F591" s="157" t="s">
        <v>1691</v>
      </c>
    </row>
    <row r="592" spans="1:6" ht="15" customHeight="1">
      <c r="A592" s="155">
        <v>11</v>
      </c>
      <c r="B592" s="161" t="s">
        <v>1575</v>
      </c>
      <c r="C592" s="162" t="s">
        <v>1692</v>
      </c>
      <c r="D592" s="162" t="str">
        <f t="shared" si="10"/>
        <v>埼玉県寄居町</v>
      </c>
      <c r="E592" s="161">
        <v>5</v>
      </c>
      <c r="F592" s="157" t="s">
        <v>1693</v>
      </c>
    </row>
    <row r="593" spans="1:6" ht="15" customHeight="1">
      <c r="A593" s="155">
        <v>11</v>
      </c>
      <c r="B593" s="161" t="s">
        <v>1575</v>
      </c>
      <c r="C593" s="162" t="s">
        <v>1694</v>
      </c>
      <c r="D593" s="162" t="str">
        <f t="shared" si="10"/>
        <v>埼玉県嵐山町</v>
      </c>
      <c r="E593" s="161">
        <v>5</v>
      </c>
      <c r="F593" s="157" t="s">
        <v>1695</v>
      </c>
    </row>
    <row r="594" spans="1:6" ht="15" customHeight="1">
      <c r="A594" s="155">
        <v>11</v>
      </c>
      <c r="B594" s="161" t="s">
        <v>1575</v>
      </c>
      <c r="C594" s="162" t="s">
        <v>1696</v>
      </c>
      <c r="D594" s="162" t="str">
        <f t="shared" si="10"/>
        <v>埼玉県和光市</v>
      </c>
      <c r="E594" s="161">
        <v>6</v>
      </c>
      <c r="F594" s="157" t="s">
        <v>1697</v>
      </c>
    </row>
    <row r="595" spans="1:6" ht="15" customHeight="1">
      <c r="A595" s="155">
        <v>11</v>
      </c>
      <c r="B595" s="161" t="s">
        <v>1575</v>
      </c>
      <c r="C595" s="162" t="s">
        <v>1698</v>
      </c>
      <c r="D595" s="162" t="str">
        <f t="shared" si="10"/>
        <v>埼玉県蕨市</v>
      </c>
      <c r="E595" s="161">
        <v>6</v>
      </c>
      <c r="F595" s="157" t="s">
        <v>1699</v>
      </c>
    </row>
    <row r="596" spans="1:6" ht="15" customHeight="1">
      <c r="A596" s="155">
        <v>12</v>
      </c>
      <c r="B596" s="161" t="s">
        <v>1700</v>
      </c>
      <c r="C596" s="162" t="s">
        <v>1701</v>
      </c>
      <c r="D596" s="162" t="str">
        <f t="shared" si="10"/>
        <v>千葉県旭市</v>
      </c>
      <c r="E596" s="161">
        <v>6</v>
      </c>
      <c r="F596" s="157" t="s">
        <v>1702</v>
      </c>
    </row>
    <row r="597" spans="1:6" ht="15" customHeight="1">
      <c r="A597" s="155">
        <v>12</v>
      </c>
      <c r="B597" s="161" t="s">
        <v>1700</v>
      </c>
      <c r="C597" s="162" t="s">
        <v>1703</v>
      </c>
      <c r="D597" s="162" t="str">
        <f t="shared" si="10"/>
        <v>千葉県我孫子市</v>
      </c>
      <c r="E597" s="161">
        <v>6</v>
      </c>
      <c r="F597" s="157" t="s">
        <v>1704</v>
      </c>
    </row>
    <row r="598" spans="1:6" ht="15" customHeight="1">
      <c r="A598" s="155">
        <v>12</v>
      </c>
      <c r="B598" s="161" t="s">
        <v>1700</v>
      </c>
      <c r="C598" s="162" t="s">
        <v>1705</v>
      </c>
      <c r="D598" s="162" t="str">
        <f t="shared" si="10"/>
        <v>千葉県いすみ市</v>
      </c>
      <c r="E598" s="161">
        <v>6</v>
      </c>
      <c r="F598" s="157" t="s">
        <v>1706</v>
      </c>
    </row>
    <row r="599" spans="1:6" ht="15" customHeight="1">
      <c r="A599" s="155">
        <v>12</v>
      </c>
      <c r="B599" s="161" t="s">
        <v>1700</v>
      </c>
      <c r="C599" s="162" t="s">
        <v>1707</v>
      </c>
      <c r="D599" s="162" t="str">
        <f t="shared" si="10"/>
        <v>千葉県市川市</v>
      </c>
      <c r="E599" s="161">
        <v>6</v>
      </c>
      <c r="F599" s="157" t="s">
        <v>1708</v>
      </c>
    </row>
    <row r="600" spans="1:6" ht="15" customHeight="1">
      <c r="A600" s="155">
        <v>12</v>
      </c>
      <c r="B600" s="161" t="s">
        <v>1700</v>
      </c>
      <c r="C600" s="162" t="s">
        <v>1709</v>
      </c>
      <c r="D600" s="162" t="str">
        <f t="shared" si="10"/>
        <v>千葉県一宮町</v>
      </c>
      <c r="E600" s="161">
        <v>6</v>
      </c>
      <c r="F600" s="157" t="s">
        <v>1710</v>
      </c>
    </row>
    <row r="601" spans="1:6" ht="15" customHeight="1">
      <c r="A601" s="155">
        <v>12</v>
      </c>
      <c r="B601" s="161" t="s">
        <v>1700</v>
      </c>
      <c r="C601" s="162" t="s">
        <v>1711</v>
      </c>
      <c r="D601" s="162" t="str">
        <f t="shared" si="10"/>
        <v>千葉県市原市</v>
      </c>
      <c r="E601" s="161">
        <v>6</v>
      </c>
      <c r="F601" s="157" t="s">
        <v>1712</v>
      </c>
    </row>
    <row r="602" spans="1:6" ht="15" customHeight="1">
      <c r="A602" s="155">
        <v>12</v>
      </c>
      <c r="B602" s="161" t="s">
        <v>1700</v>
      </c>
      <c r="C602" s="162" t="s">
        <v>1713</v>
      </c>
      <c r="D602" s="162" t="str">
        <f t="shared" si="10"/>
        <v>千葉県印西市</v>
      </c>
      <c r="E602" s="161">
        <v>5</v>
      </c>
      <c r="F602" s="157" t="s">
        <v>1714</v>
      </c>
    </row>
    <row r="603" spans="1:6" ht="15" customHeight="1">
      <c r="A603" s="155">
        <v>12</v>
      </c>
      <c r="B603" s="161" t="s">
        <v>1700</v>
      </c>
      <c r="C603" s="162" t="s">
        <v>1715</v>
      </c>
      <c r="D603" s="162" t="str">
        <f t="shared" si="10"/>
        <v>千葉県浦安市</v>
      </c>
      <c r="E603" s="161">
        <v>6</v>
      </c>
      <c r="F603" s="157" t="s">
        <v>1716</v>
      </c>
    </row>
    <row r="604" spans="1:6" ht="15" customHeight="1">
      <c r="A604" s="155">
        <v>12</v>
      </c>
      <c r="B604" s="161" t="s">
        <v>1700</v>
      </c>
      <c r="C604" s="162" t="s">
        <v>1717</v>
      </c>
      <c r="D604" s="162" t="str">
        <f t="shared" si="10"/>
        <v>千葉県大網白里市</v>
      </c>
      <c r="E604" s="161">
        <v>6</v>
      </c>
      <c r="F604" s="157" t="s">
        <v>1718</v>
      </c>
    </row>
    <row r="605" spans="1:6" ht="15" customHeight="1">
      <c r="A605" s="155">
        <v>12</v>
      </c>
      <c r="B605" s="161" t="s">
        <v>1700</v>
      </c>
      <c r="C605" s="162" t="s">
        <v>1719</v>
      </c>
      <c r="D605" s="162" t="str">
        <f t="shared" si="10"/>
        <v>千葉県大多喜町</v>
      </c>
      <c r="E605" s="161">
        <v>6</v>
      </c>
      <c r="F605" s="157" t="s">
        <v>1720</v>
      </c>
    </row>
    <row r="606" spans="1:6" ht="15" customHeight="1">
      <c r="A606" s="155">
        <v>12</v>
      </c>
      <c r="B606" s="161" t="s">
        <v>1700</v>
      </c>
      <c r="C606" s="162" t="s">
        <v>1721</v>
      </c>
      <c r="D606" s="162" t="str">
        <f t="shared" si="10"/>
        <v>千葉県御宿町</v>
      </c>
      <c r="E606" s="161">
        <v>6</v>
      </c>
      <c r="F606" s="157" t="s">
        <v>1722</v>
      </c>
    </row>
    <row r="607" spans="1:6" ht="15" customHeight="1">
      <c r="A607" s="155">
        <v>12</v>
      </c>
      <c r="B607" s="161" t="s">
        <v>1700</v>
      </c>
      <c r="C607" s="162" t="s">
        <v>1723</v>
      </c>
      <c r="D607" s="162" t="str">
        <f t="shared" si="10"/>
        <v>千葉県柏市</v>
      </c>
      <c r="E607" s="161">
        <v>6</v>
      </c>
      <c r="F607" s="157" t="s">
        <v>1724</v>
      </c>
    </row>
    <row r="608" spans="1:6" ht="15" customHeight="1">
      <c r="A608" s="155">
        <v>12</v>
      </c>
      <c r="B608" s="161" t="s">
        <v>1700</v>
      </c>
      <c r="C608" s="162" t="s">
        <v>1725</v>
      </c>
      <c r="D608" s="162" t="str">
        <f t="shared" si="10"/>
        <v>千葉県勝浦市</v>
      </c>
      <c r="E608" s="161">
        <v>7</v>
      </c>
      <c r="F608" s="157" t="s">
        <v>1726</v>
      </c>
    </row>
    <row r="609" spans="1:6" ht="15" customHeight="1">
      <c r="A609" s="155">
        <v>12</v>
      </c>
      <c r="B609" s="161" t="s">
        <v>1700</v>
      </c>
      <c r="C609" s="162" t="s">
        <v>1727</v>
      </c>
      <c r="D609" s="162" t="str">
        <f t="shared" si="10"/>
        <v>千葉県香取市</v>
      </c>
      <c r="E609" s="161">
        <v>6</v>
      </c>
      <c r="F609" s="157" t="s">
        <v>1728</v>
      </c>
    </row>
    <row r="610" spans="1:6" ht="15" customHeight="1">
      <c r="A610" s="155">
        <v>12</v>
      </c>
      <c r="B610" s="161" t="s">
        <v>1700</v>
      </c>
      <c r="C610" s="162" t="s">
        <v>1729</v>
      </c>
      <c r="D610" s="162" t="str">
        <f t="shared" si="10"/>
        <v>千葉県鎌ケ谷市</v>
      </c>
      <c r="E610" s="161">
        <v>6</v>
      </c>
      <c r="F610" s="157" t="s">
        <v>1730</v>
      </c>
    </row>
    <row r="611" spans="1:6" ht="15" customHeight="1">
      <c r="A611" s="155">
        <v>12</v>
      </c>
      <c r="B611" s="161" t="s">
        <v>1700</v>
      </c>
      <c r="C611" s="162" t="s">
        <v>1731</v>
      </c>
      <c r="D611" s="162" t="str">
        <f t="shared" si="10"/>
        <v>千葉県鴨川市</v>
      </c>
      <c r="E611" s="161">
        <v>6</v>
      </c>
      <c r="F611" s="157" t="s">
        <v>1732</v>
      </c>
    </row>
    <row r="612" spans="1:6" ht="15" customHeight="1">
      <c r="A612" s="155">
        <v>12</v>
      </c>
      <c r="B612" s="161" t="s">
        <v>1700</v>
      </c>
      <c r="C612" s="162" t="s">
        <v>1733</v>
      </c>
      <c r="D612" s="162" t="str">
        <f t="shared" si="10"/>
        <v>千葉県神崎町</v>
      </c>
      <c r="E612" s="161">
        <v>5</v>
      </c>
      <c r="F612" s="157" t="s">
        <v>1734</v>
      </c>
    </row>
    <row r="613" spans="1:6" ht="15" customHeight="1">
      <c r="A613" s="155">
        <v>12</v>
      </c>
      <c r="B613" s="161" t="s">
        <v>1700</v>
      </c>
      <c r="C613" s="162" t="s">
        <v>1735</v>
      </c>
      <c r="D613" s="162" t="str">
        <f t="shared" si="10"/>
        <v>千葉県木更津市</v>
      </c>
      <c r="E613" s="161">
        <v>6</v>
      </c>
      <c r="F613" s="157" t="s">
        <v>1736</v>
      </c>
    </row>
    <row r="614" spans="1:6" ht="15" customHeight="1">
      <c r="A614" s="155">
        <v>12</v>
      </c>
      <c r="B614" s="161" t="s">
        <v>1700</v>
      </c>
      <c r="C614" s="162" t="s">
        <v>1737</v>
      </c>
      <c r="D614" s="162" t="str">
        <f t="shared" si="10"/>
        <v>千葉県君津市</v>
      </c>
      <c r="E614" s="161">
        <v>6</v>
      </c>
      <c r="F614" s="157" t="s">
        <v>1738</v>
      </c>
    </row>
    <row r="615" spans="1:6" ht="15" customHeight="1">
      <c r="A615" s="155">
        <v>12</v>
      </c>
      <c r="B615" s="161" t="s">
        <v>1700</v>
      </c>
      <c r="C615" s="162" t="s">
        <v>1739</v>
      </c>
      <c r="D615" s="162" t="str">
        <f t="shared" si="10"/>
        <v>千葉県鋸南町</v>
      </c>
      <c r="E615" s="161">
        <v>6</v>
      </c>
      <c r="F615" s="157" t="s">
        <v>1740</v>
      </c>
    </row>
    <row r="616" spans="1:6" ht="15" customHeight="1">
      <c r="A616" s="155">
        <v>12</v>
      </c>
      <c r="B616" s="161" t="s">
        <v>1700</v>
      </c>
      <c r="C616" s="162" t="s">
        <v>1741</v>
      </c>
      <c r="D616" s="162" t="str">
        <f t="shared" si="10"/>
        <v>千葉県九十九里町</v>
      </c>
      <c r="E616" s="161">
        <v>6</v>
      </c>
      <c r="F616" s="157" t="s">
        <v>1742</v>
      </c>
    </row>
    <row r="617" spans="1:6" ht="15" customHeight="1">
      <c r="A617" s="155">
        <v>12</v>
      </c>
      <c r="B617" s="161" t="s">
        <v>1700</v>
      </c>
      <c r="C617" s="162" t="s">
        <v>1743</v>
      </c>
      <c r="D617" s="162" t="str">
        <f t="shared" si="10"/>
        <v>千葉県栄町</v>
      </c>
      <c r="E617" s="161">
        <v>5</v>
      </c>
      <c r="F617" s="157" t="s">
        <v>1744</v>
      </c>
    </row>
    <row r="618" spans="1:6" ht="15" customHeight="1">
      <c r="A618" s="155">
        <v>12</v>
      </c>
      <c r="B618" s="161" t="s">
        <v>1700</v>
      </c>
      <c r="C618" s="162" t="s">
        <v>1745</v>
      </c>
      <c r="D618" s="162" t="str">
        <f t="shared" si="10"/>
        <v>千葉県佐倉市</v>
      </c>
      <c r="E618" s="161">
        <v>6</v>
      </c>
      <c r="F618" s="157" t="s">
        <v>1459</v>
      </c>
    </row>
    <row r="619" spans="1:6" ht="15" customHeight="1">
      <c r="A619" s="155">
        <v>12</v>
      </c>
      <c r="B619" s="161" t="s">
        <v>1700</v>
      </c>
      <c r="C619" s="162" t="s">
        <v>1746</v>
      </c>
      <c r="D619" s="162" t="str">
        <f t="shared" si="10"/>
        <v>千葉県山武市</v>
      </c>
      <c r="E619" s="161">
        <v>6</v>
      </c>
      <c r="F619" s="157" t="s">
        <v>1747</v>
      </c>
    </row>
    <row r="620" spans="1:6" ht="15" customHeight="1">
      <c r="A620" s="155">
        <v>12</v>
      </c>
      <c r="B620" s="161" t="s">
        <v>1700</v>
      </c>
      <c r="C620" s="162" t="s">
        <v>1748</v>
      </c>
      <c r="D620" s="162" t="str">
        <f t="shared" si="10"/>
        <v>千葉県酒々井町</v>
      </c>
      <c r="E620" s="161">
        <v>6</v>
      </c>
      <c r="F620" s="157" t="s">
        <v>1749</v>
      </c>
    </row>
    <row r="621" spans="1:6" ht="15" customHeight="1">
      <c r="A621" s="155">
        <v>12</v>
      </c>
      <c r="B621" s="161" t="s">
        <v>1700</v>
      </c>
      <c r="C621" s="162" t="s">
        <v>1750</v>
      </c>
      <c r="D621" s="162" t="str">
        <f t="shared" si="10"/>
        <v>千葉県芝山町</v>
      </c>
      <c r="E621" s="161">
        <v>6</v>
      </c>
      <c r="F621" s="157" t="s">
        <v>1751</v>
      </c>
    </row>
    <row r="622" spans="1:6" ht="15" customHeight="1">
      <c r="A622" s="155">
        <v>12</v>
      </c>
      <c r="B622" s="161" t="s">
        <v>1700</v>
      </c>
      <c r="C622" s="162" t="s">
        <v>1752</v>
      </c>
      <c r="D622" s="162" t="str">
        <f t="shared" si="10"/>
        <v>千葉県白子町</v>
      </c>
      <c r="E622" s="161">
        <v>6</v>
      </c>
      <c r="F622" s="157" t="s">
        <v>1753</v>
      </c>
    </row>
    <row r="623" spans="1:6" ht="15" customHeight="1">
      <c r="A623" s="155">
        <v>12</v>
      </c>
      <c r="B623" s="161" t="s">
        <v>1700</v>
      </c>
      <c r="C623" s="162" t="s">
        <v>1754</v>
      </c>
      <c r="D623" s="162" t="str">
        <f t="shared" si="10"/>
        <v>千葉県白井市</v>
      </c>
      <c r="E623" s="161">
        <v>6</v>
      </c>
      <c r="F623" s="157" t="s">
        <v>1755</v>
      </c>
    </row>
    <row r="624" spans="1:6" ht="15" customHeight="1">
      <c r="A624" s="155">
        <v>12</v>
      </c>
      <c r="B624" s="161" t="s">
        <v>1700</v>
      </c>
      <c r="C624" s="162" t="s">
        <v>1756</v>
      </c>
      <c r="D624" s="162" t="str">
        <f t="shared" si="10"/>
        <v>千葉県匝瑳市</v>
      </c>
      <c r="E624" s="161">
        <v>6</v>
      </c>
      <c r="F624" s="157" t="s">
        <v>1757</v>
      </c>
    </row>
    <row r="625" spans="1:6" ht="15" customHeight="1">
      <c r="A625" s="155">
        <v>12</v>
      </c>
      <c r="B625" s="161" t="s">
        <v>1700</v>
      </c>
      <c r="C625" s="162" t="s">
        <v>1758</v>
      </c>
      <c r="D625" s="162" t="str">
        <f t="shared" si="10"/>
        <v>千葉県袖ケ浦市</v>
      </c>
      <c r="E625" s="161">
        <v>6</v>
      </c>
      <c r="F625" s="157" t="s">
        <v>1759</v>
      </c>
    </row>
    <row r="626" spans="1:6" ht="15" customHeight="1">
      <c r="A626" s="155">
        <v>12</v>
      </c>
      <c r="B626" s="161" t="s">
        <v>1700</v>
      </c>
      <c r="C626" s="162" t="s">
        <v>1760</v>
      </c>
      <c r="D626" s="162" t="str">
        <f t="shared" si="10"/>
        <v>千葉県多古町</v>
      </c>
      <c r="E626" s="161">
        <v>6</v>
      </c>
      <c r="F626" s="157" t="s">
        <v>1761</v>
      </c>
    </row>
    <row r="627" spans="1:6" ht="15" customHeight="1">
      <c r="A627" s="155">
        <v>12</v>
      </c>
      <c r="B627" s="161" t="s">
        <v>1700</v>
      </c>
      <c r="C627" s="162" t="s">
        <v>1762</v>
      </c>
      <c r="D627" s="162" t="str">
        <f t="shared" si="10"/>
        <v>千葉県館山市</v>
      </c>
      <c r="E627" s="161">
        <v>7</v>
      </c>
      <c r="F627" s="157" t="s">
        <v>1763</v>
      </c>
    </row>
    <row r="628" spans="1:6" ht="15" customHeight="1">
      <c r="A628" s="155">
        <v>12</v>
      </c>
      <c r="B628" s="161" t="s">
        <v>1700</v>
      </c>
      <c r="C628" s="162" t="s">
        <v>1764</v>
      </c>
      <c r="D628" s="162" t="str">
        <f t="shared" si="10"/>
        <v>千葉県千葉市</v>
      </c>
      <c r="E628" s="161">
        <v>6</v>
      </c>
      <c r="F628" s="157" t="s">
        <v>1765</v>
      </c>
    </row>
    <row r="629" spans="1:6" ht="15" customHeight="1">
      <c r="A629" s="155">
        <v>12</v>
      </c>
      <c r="B629" s="161" t="s">
        <v>1700</v>
      </c>
      <c r="C629" s="162" t="s">
        <v>1766</v>
      </c>
      <c r="D629" s="162" t="str">
        <f t="shared" si="10"/>
        <v>千葉県銚子市</v>
      </c>
      <c r="E629" s="161">
        <v>6</v>
      </c>
      <c r="F629" s="157" t="s">
        <v>1767</v>
      </c>
    </row>
    <row r="630" spans="1:6" ht="15" customHeight="1">
      <c r="A630" s="155">
        <v>12</v>
      </c>
      <c r="B630" s="161" t="s">
        <v>1700</v>
      </c>
      <c r="C630" s="162" t="s">
        <v>1768</v>
      </c>
      <c r="D630" s="162" t="str">
        <f t="shared" si="10"/>
        <v>千葉県長生村</v>
      </c>
      <c r="E630" s="161">
        <v>6</v>
      </c>
      <c r="F630" s="157" t="s">
        <v>1769</v>
      </c>
    </row>
    <row r="631" spans="1:6" ht="15" customHeight="1">
      <c r="A631" s="155">
        <v>12</v>
      </c>
      <c r="B631" s="161" t="s">
        <v>1700</v>
      </c>
      <c r="C631" s="162" t="s">
        <v>1770</v>
      </c>
      <c r="D631" s="162" t="str">
        <f t="shared" si="10"/>
        <v>千葉県長南町</v>
      </c>
      <c r="E631" s="161">
        <v>6</v>
      </c>
      <c r="F631" s="157" t="s">
        <v>1771</v>
      </c>
    </row>
    <row r="632" spans="1:6" ht="15" customHeight="1">
      <c r="A632" s="155">
        <v>12</v>
      </c>
      <c r="B632" s="161" t="s">
        <v>1700</v>
      </c>
      <c r="C632" s="162" t="s">
        <v>1772</v>
      </c>
      <c r="D632" s="162" t="str">
        <f t="shared" si="10"/>
        <v>千葉県東金市</v>
      </c>
      <c r="E632" s="161">
        <v>6</v>
      </c>
      <c r="F632" s="157" t="s">
        <v>1773</v>
      </c>
    </row>
    <row r="633" spans="1:6" ht="15" customHeight="1">
      <c r="A633" s="155">
        <v>12</v>
      </c>
      <c r="B633" s="161" t="s">
        <v>1700</v>
      </c>
      <c r="C633" s="162" t="s">
        <v>1774</v>
      </c>
      <c r="D633" s="162" t="str">
        <f t="shared" si="10"/>
        <v>千葉県東庄町</v>
      </c>
      <c r="E633" s="161">
        <v>6</v>
      </c>
      <c r="F633" s="157" t="s">
        <v>1775</v>
      </c>
    </row>
    <row r="634" spans="1:6" ht="15" customHeight="1">
      <c r="A634" s="155">
        <v>12</v>
      </c>
      <c r="B634" s="161" t="s">
        <v>1700</v>
      </c>
      <c r="C634" s="162" t="s">
        <v>1776</v>
      </c>
      <c r="D634" s="162" t="str">
        <f t="shared" si="10"/>
        <v>千葉県富里市</v>
      </c>
      <c r="E634" s="161">
        <v>5</v>
      </c>
      <c r="F634" s="157" t="s">
        <v>1777</v>
      </c>
    </row>
    <row r="635" spans="1:6" ht="15" customHeight="1">
      <c r="A635" s="155">
        <v>12</v>
      </c>
      <c r="B635" s="161" t="s">
        <v>1700</v>
      </c>
      <c r="C635" s="162" t="s">
        <v>1778</v>
      </c>
      <c r="D635" s="162" t="str">
        <f t="shared" si="10"/>
        <v>千葉県長柄町</v>
      </c>
      <c r="E635" s="161">
        <v>6</v>
      </c>
      <c r="F635" s="157" t="s">
        <v>1779</v>
      </c>
    </row>
    <row r="636" spans="1:6" ht="15" customHeight="1">
      <c r="A636" s="155">
        <v>12</v>
      </c>
      <c r="B636" s="161" t="s">
        <v>1700</v>
      </c>
      <c r="C636" s="162" t="s">
        <v>1780</v>
      </c>
      <c r="D636" s="162" t="str">
        <f t="shared" si="10"/>
        <v>千葉県流山市</v>
      </c>
      <c r="E636" s="161">
        <v>6</v>
      </c>
      <c r="F636" s="157" t="s">
        <v>1781</v>
      </c>
    </row>
    <row r="637" spans="1:6" ht="15" customHeight="1">
      <c r="A637" s="155">
        <v>12</v>
      </c>
      <c r="B637" s="161" t="s">
        <v>1700</v>
      </c>
      <c r="C637" s="162" t="s">
        <v>1782</v>
      </c>
      <c r="D637" s="162" t="str">
        <f t="shared" si="10"/>
        <v>千葉県習志野市</v>
      </c>
      <c r="E637" s="161">
        <v>6</v>
      </c>
      <c r="F637" s="157" t="s">
        <v>1783</v>
      </c>
    </row>
    <row r="638" spans="1:6" ht="15" customHeight="1">
      <c r="A638" s="155">
        <v>12</v>
      </c>
      <c r="B638" s="161" t="s">
        <v>1700</v>
      </c>
      <c r="C638" s="162" t="s">
        <v>1784</v>
      </c>
      <c r="D638" s="162" t="str">
        <f t="shared" si="10"/>
        <v>千葉県成田市</v>
      </c>
      <c r="E638" s="161">
        <v>6</v>
      </c>
      <c r="F638" s="157" t="s">
        <v>1785</v>
      </c>
    </row>
    <row r="639" spans="1:6" ht="15" customHeight="1">
      <c r="A639" s="155">
        <v>12</v>
      </c>
      <c r="B639" s="161" t="s">
        <v>1700</v>
      </c>
      <c r="C639" s="162" t="s">
        <v>1786</v>
      </c>
      <c r="D639" s="162" t="str">
        <f t="shared" si="10"/>
        <v>千葉県野田市</v>
      </c>
      <c r="E639" s="161">
        <v>6</v>
      </c>
      <c r="F639" s="157" t="s">
        <v>1787</v>
      </c>
    </row>
    <row r="640" spans="1:6" ht="15" customHeight="1">
      <c r="A640" s="155">
        <v>12</v>
      </c>
      <c r="B640" s="161" t="s">
        <v>1700</v>
      </c>
      <c r="C640" s="162" t="s">
        <v>1788</v>
      </c>
      <c r="D640" s="162" t="str">
        <f t="shared" si="10"/>
        <v>千葉県富津市</v>
      </c>
      <c r="E640" s="161">
        <v>6</v>
      </c>
      <c r="F640" s="157" t="s">
        <v>1789</v>
      </c>
    </row>
    <row r="641" spans="1:6" ht="15" customHeight="1">
      <c r="A641" s="155">
        <v>12</v>
      </c>
      <c r="B641" s="161" t="s">
        <v>1700</v>
      </c>
      <c r="C641" s="162" t="s">
        <v>1790</v>
      </c>
      <c r="D641" s="162" t="str">
        <f t="shared" si="10"/>
        <v>千葉県船橋市</v>
      </c>
      <c r="E641" s="161">
        <v>6</v>
      </c>
      <c r="F641" s="157" t="s">
        <v>1791</v>
      </c>
    </row>
    <row r="642" spans="1:6" ht="15" customHeight="1">
      <c r="A642" s="155">
        <v>12</v>
      </c>
      <c r="B642" s="161" t="s">
        <v>1700</v>
      </c>
      <c r="C642" s="162" t="s">
        <v>1792</v>
      </c>
      <c r="D642" s="162" t="str">
        <f t="shared" si="10"/>
        <v>千葉県松戸市</v>
      </c>
      <c r="E642" s="161">
        <v>6</v>
      </c>
      <c r="F642" s="157" t="s">
        <v>1793</v>
      </c>
    </row>
    <row r="643" spans="1:6" ht="15" customHeight="1">
      <c r="A643" s="155">
        <v>12</v>
      </c>
      <c r="B643" s="161" t="s">
        <v>1700</v>
      </c>
      <c r="C643" s="162" t="s">
        <v>1794</v>
      </c>
      <c r="D643" s="162" t="str">
        <f t="shared" si="10"/>
        <v>千葉県南房総市</v>
      </c>
      <c r="E643" s="161">
        <v>6</v>
      </c>
      <c r="F643" s="157" t="s">
        <v>1795</v>
      </c>
    </row>
    <row r="644" spans="1:6" ht="15" customHeight="1">
      <c r="A644" s="155">
        <v>12</v>
      </c>
      <c r="B644" s="161" t="s">
        <v>1700</v>
      </c>
      <c r="C644" s="162" t="s">
        <v>1796</v>
      </c>
      <c r="D644" s="162" t="str">
        <f t="shared" ref="D644:D707" si="11">B644&amp;C644</f>
        <v>千葉県睦沢町</v>
      </c>
      <c r="E644" s="161">
        <v>6</v>
      </c>
      <c r="F644" s="157" t="s">
        <v>1797</v>
      </c>
    </row>
    <row r="645" spans="1:6" ht="15" customHeight="1">
      <c r="A645" s="155">
        <v>12</v>
      </c>
      <c r="B645" s="161" t="s">
        <v>1700</v>
      </c>
      <c r="C645" s="162" t="s">
        <v>1798</v>
      </c>
      <c r="D645" s="162" t="str">
        <f t="shared" si="11"/>
        <v>千葉県茂原市</v>
      </c>
      <c r="E645" s="161">
        <v>6</v>
      </c>
      <c r="F645" s="157" t="s">
        <v>1799</v>
      </c>
    </row>
    <row r="646" spans="1:6" ht="15" customHeight="1">
      <c r="A646" s="155">
        <v>12</v>
      </c>
      <c r="B646" s="161" t="s">
        <v>1700</v>
      </c>
      <c r="C646" s="162" t="s">
        <v>1800</v>
      </c>
      <c r="D646" s="162" t="str">
        <f t="shared" si="11"/>
        <v>千葉県八街市</v>
      </c>
      <c r="E646" s="161">
        <v>6</v>
      </c>
      <c r="F646" s="157" t="s">
        <v>1801</v>
      </c>
    </row>
    <row r="647" spans="1:6" ht="15" customHeight="1">
      <c r="A647" s="155">
        <v>12</v>
      </c>
      <c r="B647" s="161" t="s">
        <v>1700</v>
      </c>
      <c r="C647" s="162" t="s">
        <v>1802</v>
      </c>
      <c r="D647" s="162" t="str">
        <f t="shared" si="11"/>
        <v>千葉県八千代市</v>
      </c>
      <c r="E647" s="161">
        <v>6</v>
      </c>
      <c r="F647" s="157" t="s">
        <v>1803</v>
      </c>
    </row>
    <row r="648" spans="1:6" ht="15" customHeight="1">
      <c r="A648" s="155">
        <v>12</v>
      </c>
      <c r="B648" s="161" t="s">
        <v>1700</v>
      </c>
      <c r="C648" s="162" t="s">
        <v>1804</v>
      </c>
      <c r="D648" s="162" t="str">
        <f t="shared" si="11"/>
        <v>千葉県横芝光町</v>
      </c>
      <c r="E648" s="161">
        <v>6</v>
      </c>
      <c r="F648" s="157" t="s">
        <v>1805</v>
      </c>
    </row>
    <row r="649" spans="1:6" ht="15" customHeight="1">
      <c r="A649" s="155">
        <v>12</v>
      </c>
      <c r="B649" s="161" t="s">
        <v>1700</v>
      </c>
      <c r="C649" s="162" t="s">
        <v>1806</v>
      </c>
      <c r="D649" s="162" t="str">
        <f t="shared" si="11"/>
        <v>千葉県四街道市</v>
      </c>
      <c r="E649" s="161">
        <v>6</v>
      </c>
      <c r="F649" s="157" t="s">
        <v>1807</v>
      </c>
    </row>
    <row r="650" spans="1:6" ht="15" customHeight="1">
      <c r="A650" s="155">
        <v>13</v>
      </c>
      <c r="B650" s="161" t="s">
        <v>1808</v>
      </c>
      <c r="C650" s="162" t="s">
        <v>1809</v>
      </c>
      <c r="D650" s="162" t="str">
        <f t="shared" si="11"/>
        <v>東京都東京23区</v>
      </c>
      <c r="E650" s="161">
        <v>6</v>
      </c>
      <c r="F650" s="157" t="s">
        <v>1810</v>
      </c>
    </row>
    <row r="651" spans="1:6" ht="15" customHeight="1">
      <c r="A651" s="155">
        <v>13</v>
      </c>
      <c r="B651" s="161" t="s">
        <v>1808</v>
      </c>
      <c r="C651" s="162" t="s">
        <v>1811</v>
      </c>
      <c r="D651" s="162" t="str">
        <f t="shared" si="11"/>
        <v>東京都青ヶ島村</v>
      </c>
      <c r="E651" s="161">
        <v>7</v>
      </c>
      <c r="F651" s="157" t="s">
        <v>1812</v>
      </c>
    </row>
    <row r="652" spans="1:6" ht="15" customHeight="1">
      <c r="A652" s="155">
        <v>13</v>
      </c>
      <c r="B652" s="161" t="s">
        <v>1808</v>
      </c>
      <c r="C652" s="162" t="s">
        <v>1813</v>
      </c>
      <c r="D652" s="162" t="str">
        <f t="shared" si="11"/>
        <v>東京都昭島市</v>
      </c>
      <c r="E652" s="161">
        <v>6</v>
      </c>
      <c r="F652" s="157" t="s">
        <v>1814</v>
      </c>
    </row>
    <row r="653" spans="1:6" ht="15" customHeight="1">
      <c r="A653" s="155">
        <v>13</v>
      </c>
      <c r="B653" s="161" t="s">
        <v>1808</v>
      </c>
      <c r="C653" s="162" t="s">
        <v>1815</v>
      </c>
      <c r="D653" s="162" t="str">
        <f t="shared" si="11"/>
        <v>東京都あきる野市</v>
      </c>
      <c r="E653" s="161">
        <v>5</v>
      </c>
      <c r="F653" s="157" t="s">
        <v>1816</v>
      </c>
    </row>
    <row r="654" spans="1:6" ht="15" customHeight="1">
      <c r="A654" s="155">
        <v>13</v>
      </c>
      <c r="B654" s="161" t="s">
        <v>1808</v>
      </c>
      <c r="C654" s="162" t="s">
        <v>1817</v>
      </c>
      <c r="D654" s="162" t="str">
        <f t="shared" si="11"/>
        <v>東京都稲城市</v>
      </c>
      <c r="E654" s="161">
        <v>6</v>
      </c>
      <c r="F654" s="157" t="s">
        <v>1818</v>
      </c>
    </row>
    <row r="655" spans="1:6" ht="15" customHeight="1">
      <c r="A655" s="155">
        <v>13</v>
      </c>
      <c r="B655" s="161" t="s">
        <v>1808</v>
      </c>
      <c r="C655" s="162" t="s">
        <v>1819</v>
      </c>
      <c r="D655" s="162" t="str">
        <f t="shared" si="11"/>
        <v>東京都青梅市</v>
      </c>
      <c r="E655" s="161">
        <v>5</v>
      </c>
      <c r="F655" s="157" t="s">
        <v>1820</v>
      </c>
    </row>
    <row r="656" spans="1:6" ht="15" customHeight="1">
      <c r="A656" s="155">
        <v>13</v>
      </c>
      <c r="B656" s="161" t="s">
        <v>1808</v>
      </c>
      <c r="C656" s="162" t="s">
        <v>1821</v>
      </c>
      <c r="D656" s="162" t="str">
        <f t="shared" si="11"/>
        <v>東京都大島町</v>
      </c>
      <c r="E656" s="161">
        <v>7</v>
      </c>
      <c r="F656" s="157" t="s">
        <v>1822</v>
      </c>
    </row>
    <row r="657" spans="1:6" ht="15" customHeight="1">
      <c r="A657" s="155">
        <v>13</v>
      </c>
      <c r="B657" s="161" t="s">
        <v>1808</v>
      </c>
      <c r="C657" s="162" t="s">
        <v>1823</v>
      </c>
      <c r="D657" s="162" t="str">
        <f t="shared" si="11"/>
        <v>東京都小笠原村</v>
      </c>
      <c r="E657" s="161">
        <v>8</v>
      </c>
      <c r="F657" s="157" t="s">
        <v>1824</v>
      </c>
    </row>
    <row r="658" spans="1:6" ht="15" customHeight="1">
      <c r="A658" s="155">
        <v>13</v>
      </c>
      <c r="B658" s="161" t="s">
        <v>1808</v>
      </c>
      <c r="C658" s="162" t="s">
        <v>1825</v>
      </c>
      <c r="D658" s="162" t="str">
        <f t="shared" si="11"/>
        <v>東京都奥多摩町</v>
      </c>
      <c r="E658" s="161">
        <v>4</v>
      </c>
      <c r="F658" s="157" t="s">
        <v>1826</v>
      </c>
    </row>
    <row r="659" spans="1:6" ht="15" customHeight="1">
      <c r="A659" s="155">
        <v>13</v>
      </c>
      <c r="B659" s="161" t="s">
        <v>1808</v>
      </c>
      <c r="C659" s="162" t="s">
        <v>1827</v>
      </c>
      <c r="D659" s="162" t="str">
        <f t="shared" si="11"/>
        <v>東京都清瀬市</v>
      </c>
      <c r="E659" s="161">
        <v>6</v>
      </c>
      <c r="F659" s="157" t="s">
        <v>1828</v>
      </c>
    </row>
    <row r="660" spans="1:6" ht="15" customHeight="1">
      <c r="A660" s="155">
        <v>13</v>
      </c>
      <c r="B660" s="161" t="s">
        <v>1808</v>
      </c>
      <c r="C660" s="162" t="s">
        <v>1829</v>
      </c>
      <c r="D660" s="162" t="str">
        <f t="shared" si="11"/>
        <v>東京都国立市</v>
      </c>
      <c r="E660" s="161">
        <v>6</v>
      </c>
      <c r="F660" s="157" t="s">
        <v>1830</v>
      </c>
    </row>
    <row r="661" spans="1:6" ht="15" customHeight="1">
      <c r="A661" s="155">
        <v>13</v>
      </c>
      <c r="B661" s="161" t="s">
        <v>1808</v>
      </c>
      <c r="C661" s="162" t="s">
        <v>1831</v>
      </c>
      <c r="D661" s="162" t="str">
        <f t="shared" si="11"/>
        <v>東京都神津島村</v>
      </c>
      <c r="E661" s="161">
        <v>7</v>
      </c>
      <c r="F661" s="157" t="s">
        <v>1832</v>
      </c>
    </row>
    <row r="662" spans="1:6" ht="15" customHeight="1">
      <c r="A662" s="155">
        <v>13</v>
      </c>
      <c r="B662" s="161" t="s">
        <v>1808</v>
      </c>
      <c r="C662" s="162" t="s">
        <v>1833</v>
      </c>
      <c r="D662" s="162" t="str">
        <f t="shared" si="11"/>
        <v>東京都小金井市</v>
      </c>
      <c r="E662" s="161">
        <v>6</v>
      </c>
      <c r="F662" s="157" t="s">
        <v>1834</v>
      </c>
    </row>
    <row r="663" spans="1:6" ht="15" customHeight="1">
      <c r="A663" s="155">
        <v>13</v>
      </c>
      <c r="B663" s="161" t="s">
        <v>1808</v>
      </c>
      <c r="C663" s="162" t="s">
        <v>1835</v>
      </c>
      <c r="D663" s="162" t="str">
        <f t="shared" si="11"/>
        <v>東京都国分寺市</v>
      </c>
      <c r="E663" s="161">
        <v>6</v>
      </c>
      <c r="F663" s="157" t="s">
        <v>1836</v>
      </c>
    </row>
    <row r="664" spans="1:6" ht="15" customHeight="1">
      <c r="A664" s="155">
        <v>13</v>
      </c>
      <c r="B664" s="161" t="s">
        <v>1808</v>
      </c>
      <c r="C664" s="162" t="s">
        <v>1837</v>
      </c>
      <c r="D664" s="162" t="str">
        <f t="shared" si="11"/>
        <v>東京都小平市</v>
      </c>
      <c r="E664" s="161">
        <v>6</v>
      </c>
      <c r="F664" s="157" t="s">
        <v>1838</v>
      </c>
    </row>
    <row r="665" spans="1:6" ht="15" customHeight="1">
      <c r="A665" s="155">
        <v>13</v>
      </c>
      <c r="B665" s="161" t="s">
        <v>1808</v>
      </c>
      <c r="C665" s="162" t="s">
        <v>1839</v>
      </c>
      <c r="D665" s="162" t="str">
        <f t="shared" si="11"/>
        <v>東京都狛江市</v>
      </c>
      <c r="E665" s="161">
        <v>6</v>
      </c>
      <c r="F665" s="157" t="s">
        <v>1840</v>
      </c>
    </row>
    <row r="666" spans="1:6" ht="15" customHeight="1">
      <c r="A666" s="155">
        <v>13</v>
      </c>
      <c r="B666" s="161" t="s">
        <v>1808</v>
      </c>
      <c r="C666" s="162" t="s">
        <v>1841</v>
      </c>
      <c r="D666" s="162" t="str">
        <f t="shared" si="11"/>
        <v>東京都新島村</v>
      </c>
      <c r="E666" s="161">
        <v>7</v>
      </c>
      <c r="F666" s="157" t="s">
        <v>1842</v>
      </c>
    </row>
    <row r="667" spans="1:6" ht="15" customHeight="1">
      <c r="A667" s="155">
        <v>13</v>
      </c>
      <c r="B667" s="161" t="s">
        <v>1808</v>
      </c>
      <c r="C667" s="162" t="s">
        <v>1843</v>
      </c>
      <c r="D667" s="162" t="str">
        <f t="shared" si="11"/>
        <v>東京都立川市</v>
      </c>
      <c r="E667" s="161">
        <v>6</v>
      </c>
      <c r="F667" s="157" t="s">
        <v>1844</v>
      </c>
    </row>
    <row r="668" spans="1:6" ht="15" customHeight="1">
      <c r="A668" s="155">
        <v>13</v>
      </c>
      <c r="B668" s="161" t="s">
        <v>1808</v>
      </c>
      <c r="C668" s="162" t="s">
        <v>1845</v>
      </c>
      <c r="D668" s="162" t="str">
        <f t="shared" si="11"/>
        <v>東京都多摩市</v>
      </c>
      <c r="E668" s="161">
        <v>6</v>
      </c>
      <c r="F668" s="157" t="s">
        <v>1846</v>
      </c>
    </row>
    <row r="669" spans="1:6" ht="15" customHeight="1">
      <c r="A669" s="155">
        <v>13</v>
      </c>
      <c r="B669" s="161" t="s">
        <v>1808</v>
      </c>
      <c r="C669" s="162" t="s">
        <v>1847</v>
      </c>
      <c r="D669" s="162" t="str">
        <f t="shared" si="11"/>
        <v>東京都調布市</v>
      </c>
      <c r="E669" s="161">
        <v>6</v>
      </c>
      <c r="F669" s="157" t="s">
        <v>1848</v>
      </c>
    </row>
    <row r="670" spans="1:6" ht="15" customHeight="1">
      <c r="A670" s="155">
        <v>13</v>
      </c>
      <c r="B670" s="161" t="s">
        <v>1808</v>
      </c>
      <c r="C670" s="162" t="s">
        <v>1849</v>
      </c>
      <c r="D670" s="162" t="str">
        <f t="shared" si="11"/>
        <v>東京都西東京市</v>
      </c>
      <c r="E670" s="161">
        <v>6</v>
      </c>
      <c r="F670" s="157" t="s">
        <v>1850</v>
      </c>
    </row>
    <row r="671" spans="1:6" ht="15" customHeight="1">
      <c r="A671" s="155">
        <v>13</v>
      </c>
      <c r="B671" s="161" t="s">
        <v>1808</v>
      </c>
      <c r="C671" s="162" t="s">
        <v>1851</v>
      </c>
      <c r="D671" s="162" t="str">
        <f t="shared" si="11"/>
        <v>東京都八王子市</v>
      </c>
      <c r="E671" s="161">
        <v>6</v>
      </c>
      <c r="F671" s="157" t="s">
        <v>1852</v>
      </c>
    </row>
    <row r="672" spans="1:6" ht="15" customHeight="1">
      <c r="A672" s="155">
        <v>13</v>
      </c>
      <c r="B672" s="161" t="s">
        <v>1808</v>
      </c>
      <c r="C672" s="162" t="s">
        <v>1853</v>
      </c>
      <c r="D672" s="162" t="str">
        <f t="shared" si="11"/>
        <v>東京都八丈町</v>
      </c>
      <c r="E672" s="161">
        <v>7</v>
      </c>
      <c r="F672" s="157" t="s">
        <v>1854</v>
      </c>
    </row>
    <row r="673" spans="1:6" ht="15" customHeight="1">
      <c r="A673" s="155">
        <v>13</v>
      </c>
      <c r="B673" s="161" t="s">
        <v>1808</v>
      </c>
      <c r="C673" s="162" t="s">
        <v>1855</v>
      </c>
      <c r="D673" s="162" t="str">
        <f t="shared" si="11"/>
        <v>東京都羽村市</v>
      </c>
      <c r="E673" s="161">
        <v>5</v>
      </c>
      <c r="F673" s="157" t="s">
        <v>1856</v>
      </c>
    </row>
    <row r="674" spans="1:6" ht="15" customHeight="1">
      <c r="A674" s="155">
        <v>13</v>
      </c>
      <c r="B674" s="161" t="s">
        <v>1808</v>
      </c>
      <c r="C674" s="162" t="s">
        <v>1857</v>
      </c>
      <c r="D674" s="162" t="str">
        <f t="shared" si="11"/>
        <v>東京都東久留米市</v>
      </c>
      <c r="E674" s="161">
        <v>6</v>
      </c>
      <c r="F674" s="157" t="s">
        <v>1858</v>
      </c>
    </row>
    <row r="675" spans="1:6" ht="15" customHeight="1">
      <c r="A675" s="155">
        <v>13</v>
      </c>
      <c r="B675" s="161" t="s">
        <v>1808</v>
      </c>
      <c r="C675" s="162" t="s">
        <v>1859</v>
      </c>
      <c r="D675" s="162" t="str">
        <f t="shared" si="11"/>
        <v>東京都東村山市</v>
      </c>
      <c r="E675" s="161">
        <v>6</v>
      </c>
      <c r="F675" s="157" t="s">
        <v>1860</v>
      </c>
    </row>
    <row r="676" spans="1:6" ht="15" customHeight="1">
      <c r="A676" s="155">
        <v>13</v>
      </c>
      <c r="B676" s="161" t="s">
        <v>1808</v>
      </c>
      <c r="C676" s="162" t="s">
        <v>1861</v>
      </c>
      <c r="D676" s="162" t="str">
        <f t="shared" si="11"/>
        <v>東京都東大和市</v>
      </c>
      <c r="E676" s="161">
        <v>6</v>
      </c>
      <c r="F676" s="157" t="s">
        <v>1862</v>
      </c>
    </row>
    <row r="677" spans="1:6" ht="15" customHeight="1">
      <c r="A677" s="155">
        <v>13</v>
      </c>
      <c r="B677" s="161" t="s">
        <v>1808</v>
      </c>
      <c r="C677" s="162" t="s">
        <v>1863</v>
      </c>
      <c r="D677" s="162" t="str">
        <f t="shared" si="11"/>
        <v>東京都日野市</v>
      </c>
      <c r="E677" s="161">
        <v>6</v>
      </c>
      <c r="F677" s="157" t="s">
        <v>1864</v>
      </c>
    </row>
    <row r="678" spans="1:6" ht="15" customHeight="1">
      <c r="A678" s="155">
        <v>13</v>
      </c>
      <c r="B678" s="161" t="s">
        <v>1808</v>
      </c>
      <c r="C678" s="162" t="s">
        <v>1865</v>
      </c>
      <c r="D678" s="162" t="str">
        <f t="shared" si="11"/>
        <v>東京都日の出町</v>
      </c>
      <c r="E678" s="161">
        <v>5</v>
      </c>
      <c r="F678" s="157" t="s">
        <v>1866</v>
      </c>
    </row>
    <row r="679" spans="1:6" ht="15" customHeight="1">
      <c r="A679" s="155">
        <v>13</v>
      </c>
      <c r="B679" s="161" t="s">
        <v>1808</v>
      </c>
      <c r="C679" s="162" t="s">
        <v>1867</v>
      </c>
      <c r="D679" s="162" t="str">
        <f t="shared" si="11"/>
        <v>東京都檜原村</v>
      </c>
      <c r="E679" s="161">
        <v>4</v>
      </c>
      <c r="F679" s="157" t="s">
        <v>1868</v>
      </c>
    </row>
    <row r="680" spans="1:6" ht="15" customHeight="1">
      <c r="A680" s="155">
        <v>13</v>
      </c>
      <c r="B680" s="161" t="s">
        <v>1808</v>
      </c>
      <c r="C680" s="162" t="s">
        <v>1869</v>
      </c>
      <c r="D680" s="162" t="str">
        <f t="shared" si="11"/>
        <v>東京都府中市</v>
      </c>
      <c r="E680" s="161">
        <v>6</v>
      </c>
      <c r="F680" s="157" t="s">
        <v>1870</v>
      </c>
    </row>
    <row r="681" spans="1:6" ht="15" customHeight="1">
      <c r="A681" s="155">
        <v>13</v>
      </c>
      <c r="B681" s="161" t="s">
        <v>1808</v>
      </c>
      <c r="C681" s="162" t="s">
        <v>1871</v>
      </c>
      <c r="D681" s="162" t="str">
        <f t="shared" si="11"/>
        <v>東京都福生市</v>
      </c>
      <c r="E681" s="161">
        <v>6</v>
      </c>
      <c r="F681" s="157" t="s">
        <v>1872</v>
      </c>
    </row>
    <row r="682" spans="1:6" ht="15" customHeight="1">
      <c r="A682" s="155">
        <v>13</v>
      </c>
      <c r="B682" s="161" t="s">
        <v>1808</v>
      </c>
      <c r="C682" s="162" t="s">
        <v>1873</v>
      </c>
      <c r="D682" s="162" t="str">
        <f t="shared" si="11"/>
        <v>東京都町田市</v>
      </c>
      <c r="E682" s="161">
        <v>6</v>
      </c>
      <c r="F682" s="157" t="s">
        <v>1874</v>
      </c>
    </row>
    <row r="683" spans="1:6" ht="15" customHeight="1">
      <c r="A683" s="155">
        <v>13</v>
      </c>
      <c r="B683" s="161" t="s">
        <v>1808</v>
      </c>
      <c r="C683" s="162" t="s">
        <v>1875</v>
      </c>
      <c r="D683" s="162" t="str">
        <f t="shared" si="11"/>
        <v>東京都御蔵島村</v>
      </c>
      <c r="E683" s="161">
        <v>7</v>
      </c>
      <c r="F683" s="157" t="s">
        <v>1876</v>
      </c>
    </row>
    <row r="684" spans="1:6" ht="15" customHeight="1">
      <c r="A684" s="155">
        <v>13</v>
      </c>
      <c r="B684" s="161" t="s">
        <v>1808</v>
      </c>
      <c r="C684" s="162" t="s">
        <v>1877</v>
      </c>
      <c r="D684" s="162" t="str">
        <f t="shared" si="11"/>
        <v>東京都瑞穂町</v>
      </c>
      <c r="E684" s="161">
        <v>5</v>
      </c>
      <c r="F684" s="157" t="s">
        <v>1878</v>
      </c>
    </row>
    <row r="685" spans="1:6" ht="15" customHeight="1">
      <c r="A685" s="155">
        <v>13</v>
      </c>
      <c r="B685" s="161" t="s">
        <v>1808</v>
      </c>
      <c r="C685" s="162" t="s">
        <v>1879</v>
      </c>
      <c r="D685" s="162" t="str">
        <f t="shared" si="11"/>
        <v>東京都三鷹市</v>
      </c>
      <c r="E685" s="161">
        <v>6</v>
      </c>
      <c r="F685" s="157" t="s">
        <v>1880</v>
      </c>
    </row>
    <row r="686" spans="1:6" ht="15" customHeight="1">
      <c r="A686" s="155">
        <v>13</v>
      </c>
      <c r="B686" s="161" t="s">
        <v>1808</v>
      </c>
      <c r="C686" s="162" t="s">
        <v>1881</v>
      </c>
      <c r="D686" s="162" t="str">
        <f t="shared" si="11"/>
        <v>東京都三宅村</v>
      </c>
      <c r="E686" s="161">
        <v>7</v>
      </c>
      <c r="F686" s="157" t="s">
        <v>1882</v>
      </c>
    </row>
    <row r="687" spans="1:6" ht="15" customHeight="1">
      <c r="A687" s="155">
        <v>13</v>
      </c>
      <c r="B687" s="161" t="s">
        <v>1808</v>
      </c>
      <c r="C687" s="162" t="s">
        <v>1883</v>
      </c>
      <c r="D687" s="162" t="str">
        <f t="shared" si="11"/>
        <v>東京都武蔵野市</v>
      </c>
      <c r="E687" s="161">
        <v>6</v>
      </c>
      <c r="F687" s="157" t="s">
        <v>1884</v>
      </c>
    </row>
    <row r="688" spans="1:6" ht="15" customHeight="1">
      <c r="A688" s="155">
        <v>13</v>
      </c>
      <c r="B688" s="161" t="s">
        <v>1808</v>
      </c>
      <c r="C688" s="162" t="s">
        <v>1885</v>
      </c>
      <c r="D688" s="162" t="str">
        <f t="shared" si="11"/>
        <v>東京都武蔵村山市</v>
      </c>
      <c r="E688" s="161">
        <v>6</v>
      </c>
      <c r="F688" s="157" t="s">
        <v>1886</v>
      </c>
    </row>
    <row r="689" spans="1:6" ht="15" customHeight="1">
      <c r="A689" s="155">
        <v>13</v>
      </c>
      <c r="B689" s="161" t="s">
        <v>1808</v>
      </c>
      <c r="C689" s="162" t="s">
        <v>1887</v>
      </c>
      <c r="D689" s="162" t="str">
        <f t="shared" si="11"/>
        <v>東京都利島村</v>
      </c>
      <c r="E689" s="161">
        <v>7</v>
      </c>
      <c r="F689" s="157" t="s">
        <v>1888</v>
      </c>
    </row>
    <row r="690" spans="1:6" ht="15" customHeight="1">
      <c r="A690" s="155">
        <v>14</v>
      </c>
      <c r="B690" s="161" t="s">
        <v>1889</v>
      </c>
      <c r="C690" s="162" t="s">
        <v>1890</v>
      </c>
      <c r="D690" s="162" t="str">
        <f t="shared" si="11"/>
        <v>神奈川県愛川町</v>
      </c>
      <c r="E690" s="161">
        <v>5</v>
      </c>
      <c r="F690" s="157" t="s">
        <v>1891</v>
      </c>
    </row>
    <row r="691" spans="1:6" ht="15" customHeight="1">
      <c r="A691" s="155">
        <v>14</v>
      </c>
      <c r="B691" s="161" t="s">
        <v>1889</v>
      </c>
      <c r="C691" s="162" t="s">
        <v>1892</v>
      </c>
      <c r="D691" s="162" t="str">
        <f t="shared" si="11"/>
        <v>神奈川県厚木市</v>
      </c>
      <c r="E691" s="161">
        <v>6</v>
      </c>
      <c r="F691" s="157" t="s">
        <v>1893</v>
      </c>
    </row>
    <row r="692" spans="1:6" ht="15" customHeight="1">
      <c r="A692" s="155">
        <v>14</v>
      </c>
      <c r="B692" s="161" t="s">
        <v>1889</v>
      </c>
      <c r="C692" s="162" t="s">
        <v>1894</v>
      </c>
      <c r="D692" s="162" t="str">
        <f t="shared" si="11"/>
        <v>神奈川県綾瀬市</v>
      </c>
      <c r="E692" s="161">
        <v>6</v>
      </c>
      <c r="F692" s="157" t="s">
        <v>1895</v>
      </c>
    </row>
    <row r="693" spans="1:6" ht="15" customHeight="1">
      <c r="A693" s="155">
        <v>14</v>
      </c>
      <c r="B693" s="161" t="s">
        <v>1889</v>
      </c>
      <c r="C693" s="162" t="s">
        <v>1896</v>
      </c>
      <c r="D693" s="162" t="str">
        <f t="shared" si="11"/>
        <v>神奈川県伊勢原市</v>
      </c>
      <c r="E693" s="161">
        <v>6</v>
      </c>
      <c r="F693" s="157" t="s">
        <v>1897</v>
      </c>
    </row>
    <row r="694" spans="1:6" ht="15" customHeight="1">
      <c r="A694" s="155">
        <v>14</v>
      </c>
      <c r="B694" s="161" t="s">
        <v>1889</v>
      </c>
      <c r="C694" s="162" t="s">
        <v>1898</v>
      </c>
      <c r="D694" s="162" t="str">
        <f t="shared" si="11"/>
        <v>神奈川県海老名市</v>
      </c>
      <c r="E694" s="161">
        <v>6</v>
      </c>
      <c r="F694" s="157" t="s">
        <v>1899</v>
      </c>
    </row>
    <row r="695" spans="1:6" ht="15" customHeight="1">
      <c r="A695" s="155">
        <v>14</v>
      </c>
      <c r="B695" s="161" t="s">
        <v>1889</v>
      </c>
      <c r="C695" s="162" t="s">
        <v>1900</v>
      </c>
      <c r="D695" s="162" t="str">
        <f t="shared" si="11"/>
        <v>神奈川県大磯町</v>
      </c>
      <c r="E695" s="161">
        <v>6</v>
      </c>
      <c r="F695" s="157" t="s">
        <v>1901</v>
      </c>
    </row>
    <row r="696" spans="1:6" ht="15" customHeight="1">
      <c r="A696" s="155">
        <v>14</v>
      </c>
      <c r="B696" s="161" t="s">
        <v>1889</v>
      </c>
      <c r="C696" s="162" t="s">
        <v>1902</v>
      </c>
      <c r="D696" s="162" t="str">
        <f t="shared" si="11"/>
        <v>神奈川県大井町</v>
      </c>
      <c r="E696" s="161">
        <v>6</v>
      </c>
      <c r="F696" s="157" t="s">
        <v>1903</v>
      </c>
    </row>
    <row r="697" spans="1:6" ht="15" customHeight="1">
      <c r="A697" s="155">
        <v>14</v>
      </c>
      <c r="B697" s="161" t="s">
        <v>1889</v>
      </c>
      <c r="C697" s="162" t="s">
        <v>1904</v>
      </c>
      <c r="D697" s="162" t="str">
        <f t="shared" si="11"/>
        <v>神奈川県小田原市</v>
      </c>
      <c r="E697" s="161">
        <v>6</v>
      </c>
      <c r="F697" s="157" t="s">
        <v>1905</v>
      </c>
    </row>
    <row r="698" spans="1:6" ht="15" customHeight="1">
      <c r="A698" s="155">
        <v>14</v>
      </c>
      <c r="B698" s="161" t="s">
        <v>1889</v>
      </c>
      <c r="C698" s="162" t="s">
        <v>1906</v>
      </c>
      <c r="D698" s="162" t="str">
        <f t="shared" si="11"/>
        <v>神奈川県開成町</v>
      </c>
      <c r="E698" s="161">
        <v>6</v>
      </c>
      <c r="F698" s="157" t="s">
        <v>1907</v>
      </c>
    </row>
    <row r="699" spans="1:6" ht="15" customHeight="1">
      <c r="A699" s="155">
        <v>14</v>
      </c>
      <c r="B699" s="161" t="s">
        <v>1889</v>
      </c>
      <c r="C699" s="162" t="s">
        <v>1908</v>
      </c>
      <c r="D699" s="162" t="str">
        <f t="shared" si="11"/>
        <v>神奈川県鎌倉市</v>
      </c>
      <c r="E699" s="161">
        <v>6</v>
      </c>
      <c r="F699" s="157" t="s">
        <v>1909</v>
      </c>
    </row>
    <row r="700" spans="1:6" ht="15" customHeight="1">
      <c r="A700" s="155">
        <v>14</v>
      </c>
      <c r="B700" s="161" t="s">
        <v>1889</v>
      </c>
      <c r="C700" s="162" t="s">
        <v>1910</v>
      </c>
      <c r="D700" s="162" t="str">
        <f t="shared" si="11"/>
        <v>神奈川県川崎市</v>
      </c>
      <c r="E700" s="161">
        <v>6</v>
      </c>
      <c r="F700" s="157" t="s">
        <v>1911</v>
      </c>
    </row>
    <row r="701" spans="1:6" ht="15" customHeight="1">
      <c r="A701" s="155">
        <v>14</v>
      </c>
      <c r="B701" s="161" t="s">
        <v>1889</v>
      </c>
      <c r="C701" s="162" t="s">
        <v>1912</v>
      </c>
      <c r="D701" s="162" t="str">
        <f t="shared" si="11"/>
        <v>神奈川県清川村</v>
      </c>
      <c r="E701" s="161">
        <v>5</v>
      </c>
      <c r="F701" s="157" t="s">
        <v>1913</v>
      </c>
    </row>
    <row r="702" spans="1:6" ht="15" customHeight="1">
      <c r="A702" s="155">
        <v>14</v>
      </c>
      <c r="B702" s="161" t="s">
        <v>1889</v>
      </c>
      <c r="C702" s="162" t="s">
        <v>1914</v>
      </c>
      <c r="D702" s="162" t="str">
        <f t="shared" si="11"/>
        <v>神奈川県相模原市</v>
      </c>
      <c r="E702" s="161">
        <v>6</v>
      </c>
      <c r="F702" s="157" t="s">
        <v>1915</v>
      </c>
    </row>
    <row r="703" spans="1:6" ht="15" customHeight="1">
      <c r="A703" s="155">
        <v>14</v>
      </c>
      <c r="B703" s="161" t="s">
        <v>1889</v>
      </c>
      <c r="C703" s="162" t="s">
        <v>1916</v>
      </c>
      <c r="D703" s="162" t="str">
        <f t="shared" si="11"/>
        <v>神奈川県座間市</v>
      </c>
      <c r="E703" s="161">
        <v>6</v>
      </c>
      <c r="F703" s="157" t="s">
        <v>1917</v>
      </c>
    </row>
    <row r="704" spans="1:6" ht="15" customHeight="1">
      <c r="A704" s="155">
        <v>14</v>
      </c>
      <c r="B704" s="161" t="s">
        <v>1889</v>
      </c>
      <c r="C704" s="162" t="s">
        <v>1918</v>
      </c>
      <c r="D704" s="162" t="str">
        <f t="shared" si="11"/>
        <v>神奈川県寒川町</v>
      </c>
      <c r="E704" s="161">
        <v>6</v>
      </c>
      <c r="F704" s="157" t="s">
        <v>1919</v>
      </c>
    </row>
    <row r="705" spans="1:6" ht="15" customHeight="1">
      <c r="A705" s="155">
        <v>14</v>
      </c>
      <c r="B705" s="161" t="s">
        <v>1889</v>
      </c>
      <c r="C705" s="162" t="s">
        <v>1920</v>
      </c>
      <c r="D705" s="162" t="str">
        <f t="shared" si="11"/>
        <v>神奈川県逗子市</v>
      </c>
      <c r="E705" s="161">
        <v>6</v>
      </c>
      <c r="F705" s="157" t="s">
        <v>1921</v>
      </c>
    </row>
    <row r="706" spans="1:6" ht="15" customHeight="1">
      <c r="A706" s="155">
        <v>14</v>
      </c>
      <c r="B706" s="161" t="s">
        <v>1889</v>
      </c>
      <c r="C706" s="162" t="s">
        <v>1922</v>
      </c>
      <c r="D706" s="162" t="str">
        <f t="shared" si="11"/>
        <v>神奈川県茅ヶ崎市</v>
      </c>
      <c r="E706" s="161">
        <v>6</v>
      </c>
      <c r="F706" s="157" t="s">
        <v>1923</v>
      </c>
    </row>
    <row r="707" spans="1:6" ht="15" customHeight="1">
      <c r="A707" s="155">
        <v>14</v>
      </c>
      <c r="B707" s="161" t="s">
        <v>1889</v>
      </c>
      <c r="C707" s="162" t="s">
        <v>1924</v>
      </c>
      <c r="D707" s="162" t="str">
        <f t="shared" si="11"/>
        <v>神奈川県中井町</v>
      </c>
      <c r="E707" s="161">
        <v>6</v>
      </c>
      <c r="F707" s="157" t="s">
        <v>1925</v>
      </c>
    </row>
    <row r="708" spans="1:6" ht="15" customHeight="1">
      <c r="A708" s="155">
        <v>14</v>
      </c>
      <c r="B708" s="161" t="s">
        <v>1889</v>
      </c>
      <c r="C708" s="162" t="s">
        <v>1926</v>
      </c>
      <c r="D708" s="162" t="str">
        <f t="shared" ref="D708:D771" si="12">B708&amp;C708</f>
        <v>神奈川県二宮町</v>
      </c>
      <c r="E708" s="161">
        <v>6</v>
      </c>
      <c r="F708" s="157" t="s">
        <v>1927</v>
      </c>
    </row>
    <row r="709" spans="1:6" ht="15" customHeight="1">
      <c r="A709" s="155">
        <v>14</v>
      </c>
      <c r="B709" s="161" t="s">
        <v>1889</v>
      </c>
      <c r="C709" s="162" t="s">
        <v>1928</v>
      </c>
      <c r="D709" s="162" t="str">
        <f t="shared" si="12"/>
        <v>神奈川県箱根町</v>
      </c>
      <c r="E709" s="161">
        <v>6</v>
      </c>
      <c r="F709" s="157" t="s">
        <v>1929</v>
      </c>
    </row>
    <row r="710" spans="1:6" ht="15" customHeight="1">
      <c r="A710" s="155">
        <v>14</v>
      </c>
      <c r="B710" s="161" t="s">
        <v>1889</v>
      </c>
      <c r="C710" s="162" t="s">
        <v>1930</v>
      </c>
      <c r="D710" s="162" t="str">
        <f t="shared" si="12"/>
        <v>神奈川県秦野市</v>
      </c>
      <c r="E710" s="161">
        <v>6</v>
      </c>
      <c r="F710" s="157" t="s">
        <v>1931</v>
      </c>
    </row>
    <row r="711" spans="1:6" ht="15" customHeight="1">
      <c r="A711" s="155">
        <v>14</v>
      </c>
      <c r="B711" s="161" t="s">
        <v>1889</v>
      </c>
      <c r="C711" s="162" t="s">
        <v>1932</v>
      </c>
      <c r="D711" s="162" t="str">
        <f t="shared" si="12"/>
        <v>神奈川県葉山町</v>
      </c>
      <c r="E711" s="161">
        <v>6</v>
      </c>
      <c r="F711" s="157" t="s">
        <v>1933</v>
      </c>
    </row>
    <row r="712" spans="1:6" ht="15" customHeight="1">
      <c r="A712" s="155">
        <v>14</v>
      </c>
      <c r="B712" s="161" t="s">
        <v>1889</v>
      </c>
      <c r="C712" s="162" t="s">
        <v>1934</v>
      </c>
      <c r="D712" s="162" t="str">
        <f t="shared" si="12"/>
        <v>神奈川県平塚市</v>
      </c>
      <c r="E712" s="161">
        <v>6</v>
      </c>
      <c r="F712" s="157" t="s">
        <v>1935</v>
      </c>
    </row>
    <row r="713" spans="1:6" ht="15" customHeight="1">
      <c r="A713" s="155">
        <v>14</v>
      </c>
      <c r="B713" s="161" t="s">
        <v>1889</v>
      </c>
      <c r="C713" s="162" t="s">
        <v>1936</v>
      </c>
      <c r="D713" s="162" t="str">
        <f t="shared" si="12"/>
        <v>神奈川県藤沢市</v>
      </c>
      <c r="E713" s="161">
        <v>7</v>
      </c>
      <c r="F713" s="157" t="s">
        <v>1937</v>
      </c>
    </row>
    <row r="714" spans="1:6" ht="15" customHeight="1">
      <c r="A714" s="155">
        <v>14</v>
      </c>
      <c r="B714" s="161" t="s">
        <v>1889</v>
      </c>
      <c r="C714" s="162" t="s">
        <v>1938</v>
      </c>
      <c r="D714" s="162" t="str">
        <f t="shared" si="12"/>
        <v>神奈川県松田町</v>
      </c>
      <c r="E714" s="161">
        <v>6</v>
      </c>
      <c r="F714" s="157" t="s">
        <v>1939</v>
      </c>
    </row>
    <row r="715" spans="1:6" ht="15" customHeight="1">
      <c r="A715" s="155">
        <v>14</v>
      </c>
      <c r="B715" s="161" t="s">
        <v>1889</v>
      </c>
      <c r="C715" s="162" t="s">
        <v>1940</v>
      </c>
      <c r="D715" s="162" t="str">
        <f t="shared" si="12"/>
        <v>神奈川県真鶴町</v>
      </c>
      <c r="E715" s="161">
        <v>6</v>
      </c>
      <c r="F715" s="157" t="s">
        <v>1941</v>
      </c>
    </row>
    <row r="716" spans="1:6" ht="15" customHeight="1">
      <c r="A716" s="155">
        <v>14</v>
      </c>
      <c r="B716" s="161" t="s">
        <v>1889</v>
      </c>
      <c r="C716" s="162" t="s">
        <v>1942</v>
      </c>
      <c r="D716" s="162" t="str">
        <f t="shared" si="12"/>
        <v>神奈川県三浦市</v>
      </c>
      <c r="E716" s="161">
        <v>7</v>
      </c>
      <c r="F716" s="157" t="s">
        <v>1943</v>
      </c>
    </row>
    <row r="717" spans="1:6" ht="15" customHeight="1">
      <c r="A717" s="155">
        <v>14</v>
      </c>
      <c r="B717" s="161" t="s">
        <v>1889</v>
      </c>
      <c r="C717" s="162" t="s">
        <v>1944</v>
      </c>
      <c r="D717" s="162" t="str">
        <f t="shared" si="12"/>
        <v>神奈川県南足柄市</v>
      </c>
      <c r="E717" s="161">
        <v>6</v>
      </c>
      <c r="F717" s="157" t="s">
        <v>1945</v>
      </c>
    </row>
    <row r="718" spans="1:6" ht="15" customHeight="1">
      <c r="A718" s="155">
        <v>14</v>
      </c>
      <c r="B718" s="161" t="s">
        <v>1889</v>
      </c>
      <c r="C718" s="162" t="s">
        <v>1946</v>
      </c>
      <c r="D718" s="162" t="str">
        <f t="shared" si="12"/>
        <v>神奈川県山北町</v>
      </c>
      <c r="E718" s="161">
        <v>5</v>
      </c>
      <c r="F718" s="157" t="s">
        <v>1947</v>
      </c>
    </row>
    <row r="719" spans="1:6" ht="15" customHeight="1">
      <c r="A719" s="155">
        <v>14</v>
      </c>
      <c r="B719" s="161" t="s">
        <v>1889</v>
      </c>
      <c r="C719" s="162" t="s">
        <v>1948</v>
      </c>
      <c r="D719" s="162" t="str">
        <f t="shared" si="12"/>
        <v>神奈川県大和市</v>
      </c>
      <c r="E719" s="161">
        <v>6</v>
      </c>
      <c r="F719" s="157" t="s">
        <v>1949</v>
      </c>
    </row>
    <row r="720" spans="1:6" ht="15" customHeight="1">
      <c r="A720" s="155">
        <v>14</v>
      </c>
      <c r="B720" s="161" t="s">
        <v>1889</v>
      </c>
      <c r="C720" s="162" t="s">
        <v>1950</v>
      </c>
      <c r="D720" s="162" t="str">
        <f t="shared" si="12"/>
        <v>神奈川県湯河原町</v>
      </c>
      <c r="E720" s="161">
        <v>6</v>
      </c>
      <c r="F720" s="157" t="s">
        <v>1951</v>
      </c>
    </row>
    <row r="721" spans="1:6" ht="15" customHeight="1">
      <c r="A721" s="155">
        <v>14</v>
      </c>
      <c r="B721" s="161" t="s">
        <v>1889</v>
      </c>
      <c r="C721" s="162" t="s">
        <v>1952</v>
      </c>
      <c r="D721" s="162" t="str">
        <f t="shared" si="12"/>
        <v>神奈川県横須賀市</v>
      </c>
      <c r="E721" s="161">
        <v>7</v>
      </c>
      <c r="F721" s="157" t="s">
        <v>1953</v>
      </c>
    </row>
    <row r="722" spans="1:6" ht="15" customHeight="1">
      <c r="A722" s="155">
        <v>14</v>
      </c>
      <c r="B722" s="161" t="s">
        <v>1889</v>
      </c>
      <c r="C722" s="162" t="s">
        <v>1954</v>
      </c>
      <c r="D722" s="162" t="str">
        <f t="shared" si="12"/>
        <v>神奈川県横浜市</v>
      </c>
      <c r="E722" s="161">
        <v>6</v>
      </c>
      <c r="F722" s="157" t="s">
        <v>1955</v>
      </c>
    </row>
    <row r="723" spans="1:6" ht="15" customHeight="1">
      <c r="A723" s="155">
        <v>15</v>
      </c>
      <c r="B723" s="161" t="s">
        <v>1956</v>
      </c>
      <c r="C723" s="162" t="s">
        <v>1957</v>
      </c>
      <c r="D723" s="162" t="str">
        <f t="shared" si="12"/>
        <v>新潟県阿賀町</v>
      </c>
      <c r="E723" s="161">
        <v>4</v>
      </c>
      <c r="F723" s="157" t="s">
        <v>1958</v>
      </c>
    </row>
    <row r="724" spans="1:6" ht="15" customHeight="1">
      <c r="A724" s="155">
        <v>15</v>
      </c>
      <c r="B724" s="161" t="s">
        <v>1956</v>
      </c>
      <c r="C724" s="162" t="s">
        <v>1959</v>
      </c>
      <c r="D724" s="162" t="str">
        <f t="shared" si="12"/>
        <v>新潟県阿賀野市</v>
      </c>
      <c r="E724" s="161">
        <v>5</v>
      </c>
      <c r="F724" s="157" t="s">
        <v>1960</v>
      </c>
    </row>
    <row r="725" spans="1:6" ht="15" customHeight="1">
      <c r="A725" s="155">
        <v>15</v>
      </c>
      <c r="B725" s="161" t="s">
        <v>1956</v>
      </c>
      <c r="C725" s="162" t="s">
        <v>1961</v>
      </c>
      <c r="D725" s="162" t="str">
        <f t="shared" si="12"/>
        <v>新潟県粟島浦村</v>
      </c>
      <c r="E725" s="161">
        <v>5</v>
      </c>
      <c r="F725" s="157" t="s">
        <v>1962</v>
      </c>
    </row>
    <row r="726" spans="1:6" ht="15" customHeight="1">
      <c r="A726" s="155">
        <v>15</v>
      </c>
      <c r="B726" s="161" t="s">
        <v>1956</v>
      </c>
      <c r="C726" s="162" t="s">
        <v>1963</v>
      </c>
      <c r="D726" s="162" t="str">
        <f t="shared" si="12"/>
        <v>新潟県出雲崎町</v>
      </c>
      <c r="E726" s="161">
        <v>5</v>
      </c>
      <c r="F726" s="157" t="s">
        <v>1964</v>
      </c>
    </row>
    <row r="727" spans="1:6" ht="15" customHeight="1">
      <c r="A727" s="155">
        <v>15</v>
      </c>
      <c r="B727" s="161" t="s">
        <v>1956</v>
      </c>
      <c r="C727" s="162" t="s">
        <v>1965</v>
      </c>
      <c r="D727" s="162" t="str">
        <f t="shared" si="12"/>
        <v>新潟県糸魚川市</v>
      </c>
      <c r="E727" s="161">
        <v>5</v>
      </c>
      <c r="F727" s="157" t="s">
        <v>1966</v>
      </c>
    </row>
    <row r="728" spans="1:6" ht="15" customHeight="1">
      <c r="A728" s="155">
        <v>15</v>
      </c>
      <c r="B728" s="161" t="s">
        <v>1956</v>
      </c>
      <c r="C728" s="162" t="s">
        <v>1967</v>
      </c>
      <c r="D728" s="162" t="str">
        <f t="shared" si="12"/>
        <v>新潟県魚沼市</v>
      </c>
      <c r="E728" s="161">
        <v>4</v>
      </c>
      <c r="F728" s="157" t="s">
        <v>1968</v>
      </c>
    </row>
    <row r="729" spans="1:6" ht="15" customHeight="1">
      <c r="A729" s="155">
        <v>15</v>
      </c>
      <c r="B729" s="161" t="s">
        <v>1956</v>
      </c>
      <c r="C729" s="162" t="s">
        <v>1969</v>
      </c>
      <c r="D729" s="162" t="str">
        <f t="shared" si="12"/>
        <v>新潟県小千谷市</v>
      </c>
      <c r="E729" s="161">
        <v>4</v>
      </c>
      <c r="F729" s="157" t="s">
        <v>1970</v>
      </c>
    </row>
    <row r="730" spans="1:6" ht="15" customHeight="1">
      <c r="A730" s="155">
        <v>15</v>
      </c>
      <c r="B730" s="161" t="s">
        <v>1956</v>
      </c>
      <c r="C730" s="162" t="s">
        <v>1971</v>
      </c>
      <c r="D730" s="162" t="str">
        <f t="shared" si="12"/>
        <v>新潟県柏崎市</v>
      </c>
      <c r="E730" s="161">
        <v>5</v>
      </c>
      <c r="F730" s="157" t="s">
        <v>1972</v>
      </c>
    </row>
    <row r="731" spans="1:6" ht="15" customHeight="1">
      <c r="A731" s="155">
        <v>15</v>
      </c>
      <c r="B731" s="161" t="s">
        <v>1956</v>
      </c>
      <c r="C731" s="162" t="s">
        <v>1973</v>
      </c>
      <c r="D731" s="162" t="str">
        <f t="shared" si="12"/>
        <v>新潟県加茂市</v>
      </c>
      <c r="E731" s="161">
        <v>5</v>
      </c>
      <c r="F731" s="157" t="s">
        <v>1974</v>
      </c>
    </row>
    <row r="732" spans="1:6" ht="15" customHeight="1">
      <c r="A732" s="155">
        <v>15</v>
      </c>
      <c r="B732" s="161" t="s">
        <v>1956</v>
      </c>
      <c r="C732" s="162" t="s">
        <v>1975</v>
      </c>
      <c r="D732" s="162" t="str">
        <f t="shared" si="12"/>
        <v>新潟県刈羽村</v>
      </c>
      <c r="E732" s="161">
        <v>5</v>
      </c>
      <c r="F732" s="157" t="s">
        <v>1976</v>
      </c>
    </row>
    <row r="733" spans="1:6" ht="15" customHeight="1">
      <c r="A733" s="155">
        <v>15</v>
      </c>
      <c r="B733" s="161" t="s">
        <v>1956</v>
      </c>
      <c r="C733" s="162" t="s">
        <v>1977</v>
      </c>
      <c r="D733" s="162" t="str">
        <f t="shared" si="12"/>
        <v>新潟県五泉市</v>
      </c>
      <c r="E733" s="161">
        <v>5</v>
      </c>
      <c r="F733" s="157" t="s">
        <v>1978</v>
      </c>
    </row>
    <row r="734" spans="1:6" ht="15" customHeight="1">
      <c r="A734" s="155">
        <v>15</v>
      </c>
      <c r="B734" s="161" t="s">
        <v>1956</v>
      </c>
      <c r="C734" s="162" t="s">
        <v>1979</v>
      </c>
      <c r="D734" s="162" t="str">
        <f t="shared" si="12"/>
        <v>新潟県佐渡市</v>
      </c>
      <c r="E734" s="161">
        <v>5</v>
      </c>
      <c r="F734" s="157" t="s">
        <v>1980</v>
      </c>
    </row>
    <row r="735" spans="1:6" ht="15" customHeight="1">
      <c r="A735" s="155">
        <v>15</v>
      </c>
      <c r="B735" s="161" t="s">
        <v>1956</v>
      </c>
      <c r="C735" s="162" t="s">
        <v>1981</v>
      </c>
      <c r="D735" s="162" t="str">
        <f t="shared" si="12"/>
        <v>新潟県三条市</v>
      </c>
      <c r="E735" s="161">
        <v>5</v>
      </c>
      <c r="F735" s="157" t="s">
        <v>1982</v>
      </c>
    </row>
    <row r="736" spans="1:6" ht="15" customHeight="1">
      <c r="A736" s="155">
        <v>15</v>
      </c>
      <c r="B736" s="161" t="s">
        <v>1956</v>
      </c>
      <c r="C736" s="162" t="s">
        <v>1983</v>
      </c>
      <c r="D736" s="162" t="str">
        <f t="shared" si="12"/>
        <v>新潟県新発田市</v>
      </c>
      <c r="E736" s="161">
        <v>5</v>
      </c>
      <c r="F736" s="157" t="s">
        <v>1984</v>
      </c>
    </row>
    <row r="737" spans="1:6" ht="15" customHeight="1">
      <c r="A737" s="155">
        <v>15</v>
      </c>
      <c r="B737" s="161" t="s">
        <v>1956</v>
      </c>
      <c r="C737" s="162" t="s">
        <v>1985</v>
      </c>
      <c r="D737" s="162" t="str">
        <f t="shared" si="12"/>
        <v>新潟県上越市</v>
      </c>
      <c r="E737" s="161">
        <v>5</v>
      </c>
      <c r="F737" s="157" t="s">
        <v>1986</v>
      </c>
    </row>
    <row r="738" spans="1:6" ht="15" customHeight="1">
      <c r="A738" s="155">
        <v>15</v>
      </c>
      <c r="B738" s="161" t="s">
        <v>1956</v>
      </c>
      <c r="C738" s="162" t="s">
        <v>1987</v>
      </c>
      <c r="D738" s="162" t="str">
        <f t="shared" si="12"/>
        <v>新潟県聖籠町</v>
      </c>
      <c r="E738" s="161">
        <v>5</v>
      </c>
      <c r="F738" s="157" t="s">
        <v>1988</v>
      </c>
    </row>
    <row r="739" spans="1:6" ht="15" customHeight="1">
      <c r="A739" s="155">
        <v>15</v>
      </c>
      <c r="B739" s="161" t="s">
        <v>1956</v>
      </c>
      <c r="C739" s="162" t="s">
        <v>1989</v>
      </c>
      <c r="D739" s="162" t="str">
        <f t="shared" si="12"/>
        <v>新潟県関川村</v>
      </c>
      <c r="E739" s="161">
        <v>4</v>
      </c>
      <c r="F739" s="157" t="s">
        <v>1990</v>
      </c>
    </row>
    <row r="740" spans="1:6" ht="15" customHeight="1">
      <c r="A740" s="155">
        <v>15</v>
      </c>
      <c r="B740" s="161" t="s">
        <v>1956</v>
      </c>
      <c r="C740" s="162" t="s">
        <v>1991</v>
      </c>
      <c r="D740" s="162" t="str">
        <f t="shared" si="12"/>
        <v>新潟県胎内市</v>
      </c>
      <c r="E740" s="161">
        <v>5</v>
      </c>
      <c r="F740" s="157" t="s">
        <v>1992</v>
      </c>
    </row>
    <row r="741" spans="1:6" ht="15" customHeight="1">
      <c r="A741" s="155">
        <v>15</v>
      </c>
      <c r="B741" s="161" t="s">
        <v>1956</v>
      </c>
      <c r="C741" s="162" t="s">
        <v>1993</v>
      </c>
      <c r="D741" s="162" t="str">
        <f t="shared" si="12"/>
        <v>新潟県田上町</v>
      </c>
      <c r="E741" s="161">
        <v>5</v>
      </c>
      <c r="F741" s="157" t="s">
        <v>1994</v>
      </c>
    </row>
    <row r="742" spans="1:6" ht="15" customHeight="1">
      <c r="A742" s="155">
        <v>15</v>
      </c>
      <c r="B742" s="161" t="s">
        <v>1956</v>
      </c>
      <c r="C742" s="162" t="s">
        <v>1995</v>
      </c>
      <c r="D742" s="162" t="str">
        <f t="shared" si="12"/>
        <v>新潟県津南町</v>
      </c>
      <c r="E742" s="161">
        <v>4</v>
      </c>
      <c r="F742" s="157" t="s">
        <v>1996</v>
      </c>
    </row>
    <row r="743" spans="1:6" ht="15" customHeight="1">
      <c r="A743" s="155">
        <v>15</v>
      </c>
      <c r="B743" s="161" t="s">
        <v>1956</v>
      </c>
      <c r="C743" s="162" t="s">
        <v>1997</v>
      </c>
      <c r="D743" s="162" t="str">
        <f t="shared" si="12"/>
        <v>新潟県燕市</v>
      </c>
      <c r="E743" s="161">
        <v>5</v>
      </c>
      <c r="F743" s="157" t="s">
        <v>1998</v>
      </c>
    </row>
    <row r="744" spans="1:6" ht="15" customHeight="1">
      <c r="A744" s="155">
        <v>15</v>
      </c>
      <c r="B744" s="161" t="s">
        <v>1956</v>
      </c>
      <c r="C744" s="162" t="s">
        <v>1999</v>
      </c>
      <c r="D744" s="162" t="str">
        <f t="shared" si="12"/>
        <v>新潟県十日町市</v>
      </c>
      <c r="E744" s="161">
        <v>4</v>
      </c>
      <c r="F744" s="157" t="s">
        <v>2000</v>
      </c>
    </row>
    <row r="745" spans="1:6" ht="15" customHeight="1">
      <c r="A745" s="155">
        <v>15</v>
      </c>
      <c r="B745" s="161" t="s">
        <v>1956</v>
      </c>
      <c r="C745" s="162" t="s">
        <v>2001</v>
      </c>
      <c r="D745" s="162" t="str">
        <f t="shared" si="12"/>
        <v>新潟県長岡市</v>
      </c>
      <c r="E745" s="161">
        <v>5</v>
      </c>
      <c r="F745" s="157" t="s">
        <v>2002</v>
      </c>
    </row>
    <row r="746" spans="1:6" ht="15" customHeight="1">
      <c r="A746" s="155">
        <v>15</v>
      </c>
      <c r="B746" s="161" t="s">
        <v>1956</v>
      </c>
      <c r="C746" s="162" t="s">
        <v>2003</v>
      </c>
      <c r="D746" s="162" t="str">
        <f t="shared" si="12"/>
        <v>新潟県新潟市</v>
      </c>
      <c r="E746" s="161">
        <v>5</v>
      </c>
      <c r="F746" s="157" t="s">
        <v>2004</v>
      </c>
    </row>
    <row r="747" spans="1:6" ht="15" customHeight="1">
      <c r="A747" s="155">
        <v>15</v>
      </c>
      <c r="B747" s="161" t="s">
        <v>1956</v>
      </c>
      <c r="C747" s="162" t="s">
        <v>2005</v>
      </c>
      <c r="D747" s="162" t="str">
        <f t="shared" si="12"/>
        <v>新潟県見附市</v>
      </c>
      <c r="E747" s="161">
        <v>5</v>
      </c>
      <c r="F747" s="157" t="s">
        <v>2006</v>
      </c>
    </row>
    <row r="748" spans="1:6" ht="15" customHeight="1">
      <c r="A748" s="155">
        <v>15</v>
      </c>
      <c r="B748" s="161" t="s">
        <v>1956</v>
      </c>
      <c r="C748" s="162" t="s">
        <v>2007</v>
      </c>
      <c r="D748" s="162" t="str">
        <f t="shared" si="12"/>
        <v>新潟県南魚沼市</v>
      </c>
      <c r="E748" s="161">
        <v>4</v>
      </c>
      <c r="F748" s="157" t="s">
        <v>2008</v>
      </c>
    </row>
    <row r="749" spans="1:6" ht="15" customHeight="1">
      <c r="A749" s="155">
        <v>15</v>
      </c>
      <c r="B749" s="161" t="s">
        <v>1956</v>
      </c>
      <c r="C749" s="162" t="s">
        <v>2009</v>
      </c>
      <c r="D749" s="162" t="str">
        <f t="shared" si="12"/>
        <v>新潟県妙高市</v>
      </c>
      <c r="E749" s="161">
        <v>5</v>
      </c>
      <c r="F749" s="157" t="s">
        <v>2010</v>
      </c>
    </row>
    <row r="750" spans="1:6" ht="15" customHeight="1">
      <c r="A750" s="155">
        <v>15</v>
      </c>
      <c r="B750" s="161" t="s">
        <v>1956</v>
      </c>
      <c r="C750" s="162" t="s">
        <v>2011</v>
      </c>
      <c r="D750" s="162" t="str">
        <f t="shared" si="12"/>
        <v>新潟県村上市</v>
      </c>
      <c r="E750" s="161">
        <v>4</v>
      </c>
      <c r="F750" s="157" t="s">
        <v>2012</v>
      </c>
    </row>
    <row r="751" spans="1:6" ht="15" customHeight="1">
      <c r="A751" s="155">
        <v>15</v>
      </c>
      <c r="B751" s="161" t="s">
        <v>1956</v>
      </c>
      <c r="C751" s="162" t="s">
        <v>2013</v>
      </c>
      <c r="D751" s="162" t="str">
        <f t="shared" si="12"/>
        <v>新潟県弥彦村</v>
      </c>
      <c r="E751" s="161">
        <v>5</v>
      </c>
      <c r="F751" s="157" t="s">
        <v>2014</v>
      </c>
    </row>
    <row r="752" spans="1:6" ht="15" customHeight="1">
      <c r="A752" s="155">
        <v>15</v>
      </c>
      <c r="B752" s="161" t="s">
        <v>1956</v>
      </c>
      <c r="C752" s="162" t="s">
        <v>2015</v>
      </c>
      <c r="D752" s="162" t="str">
        <f t="shared" si="12"/>
        <v>新潟県湯沢町</v>
      </c>
      <c r="E752" s="161">
        <v>4</v>
      </c>
      <c r="F752" s="157" t="s">
        <v>2016</v>
      </c>
    </row>
    <row r="753" spans="1:6" ht="15" customHeight="1">
      <c r="A753" s="155">
        <v>16</v>
      </c>
      <c r="B753" s="161" t="s">
        <v>2017</v>
      </c>
      <c r="C753" s="162" t="s">
        <v>1216</v>
      </c>
      <c r="D753" s="162" t="str">
        <f t="shared" si="12"/>
        <v>富山県朝日町</v>
      </c>
      <c r="E753" s="161">
        <v>5</v>
      </c>
      <c r="F753" s="157" t="s">
        <v>1217</v>
      </c>
    </row>
    <row r="754" spans="1:6" ht="15" customHeight="1">
      <c r="A754" s="155">
        <v>16</v>
      </c>
      <c r="B754" s="161" t="s">
        <v>2017</v>
      </c>
      <c r="C754" s="162" t="s">
        <v>2018</v>
      </c>
      <c r="D754" s="162" t="str">
        <f t="shared" si="12"/>
        <v>富山県射水市</v>
      </c>
      <c r="E754" s="161">
        <v>5</v>
      </c>
      <c r="F754" s="157" t="s">
        <v>2019</v>
      </c>
    </row>
    <row r="755" spans="1:6" ht="15" customHeight="1">
      <c r="A755" s="155">
        <v>16</v>
      </c>
      <c r="B755" s="161" t="s">
        <v>2017</v>
      </c>
      <c r="C755" s="162" t="s">
        <v>2020</v>
      </c>
      <c r="D755" s="162" t="str">
        <f t="shared" si="12"/>
        <v>富山県魚津市</v>
      </c>
      <c r="E755" s="161">
        <v>5</v>
      </c>
      <c r="F755" s="157" t="s">
        <v>2021</v>
      </c>
    </row>
    <row r="756" spans="1:6" ht="15" customHeight="1">
      <c r="A756" s="155">
        <v>16</v>
      </c>
      <c r="B756" s="161" t="s">
        <v>2017</v>
      </c>
      <c r="C756" s="162" t="s">
        <v>2022</v>
      </c>
      <c r="D756" s="162" t="str">
        <f t="shared" si="12"/>
        <v>富山県小矢部市</v>
      </c>
      <c r="E756" s="161">
        <v>5</v>
      </c>
      <c r="F756" s="157" t="s">
        <v>2023</v>
      </c>
    </row>
    <row r="757" spans="1:6" ht="15" customHeight="1">
      <c r="A757" s="155">
        <v>16</v>
      </c>
      <c r="B757" s="161" t="s">
        <v>2017</v>
      </c>
      <c r="C757" s="162" t="s">
        <v>2024</v>
      </c>
      <c r="D757" s="162" t="str">
        <f t="shared" si="12"/>
        <v>富山県上市町</v>
      </c>
      <c r="E757" s="161">
        <v>5</v>
      </c>
      <c r="F757" s="157" t="s">
        <v>2025</v>
      </c>
    </row>
    <row r="758" spans="1:6" ht="15" customHeight="1">
      <c r="A758" s="155">
        <v>16</v>
      </c>
      <c r="B758" s="161" t="s">
        <v>2017</v>
      </c>
      <c r="C758" s="162" t="s">
        <v>2026</v>
      </c>
      <c r="D758" s="162" t="str">
        <f t="shared" si="12"/>
        <v>富山県黒部市</v>
      </c>
      <c r="E758" s="161">
        <v>5</v>
      </c>
      <c r="F758" s="157" t="s">
        <v>2027</v>
      </c>
    </row>
    <row r="759" spans="1:6" ht="15" customHeight="1">
      <c r="A759" s="155">
        <v>16</v>
      </c>
      <c r="B759" s="161" t="s">
        <v>2017</v>
      </c>
      <c r="C759" s="162" t="s">
        <v>2028</v>
      </c>
      <c r="D759" s="162" t="str">
        <f t="shared" si="12"/>
        <v>富山県高岡市</v>
      </c>
      <c r="E759" s="161">
        <v>5</v>
      </c>
      <c r="F759" s="157" t="s">
        <v>2029</v>
      </c>
    </row>
    <row r="760" spans="1:6" ht="15" customHeight="1">
      <c r="A760" s="155">
        <v>16</v>
      </c>
      <c r="B760" s="161" t="s">
        <v>2017</v>
      </c>
      <c r="C760" s="162" t="s">
        <v>2030</v>
      </c>
      <c r="D760" s="162" t="str">
        <f t="shared" si="12"/>
        <v>富山県立山町</v>
      </c>
      <c r="E760" s="161">
        <v>5</v>
      </c>
      <c r="F760" s="157" t="s">
        <v>2031</v>
      </c>
    </row>
    <row r="761" spans="1:6" ht="15" customHeight="1">
      <c r="A761" s="155">
        <v>16</v>
      </c>
      <c r="B761" s="161" t="s">
        <v>2017</v>
      </c>
      <c r="C761" s="162" t="s">
        <v>2032</v>
      </c>
      <c r="D761" s="162" t="str">
        <f t="shared" si="12"/>
        <v>富山県砺波市</v>
      </c>
      <c r="E761" s="161">
        <v>5</v>
      </c>
      <c r="F761" s="157" t="s">
        <v>2033</v>
      </c>
    </row>
    <row r="762" spans="1:6" ht="15" customHeight="1">
      <c r="A762" s="155">
        <v>16</v>
      </c>
      <c r="B762" s="161" t="s">
        <v>2017</v>
      </c>
      <c r="C762" s="162" t="s">
        <v>2034</v>
      </c>
      <c r="D762" s="162" t="str">
        <f t="shared" si="12"/>
        <v>富山県富山市</v>
      </c>
      <c r="E762" s="161">
        <v>5</v>
      </c>
      <c r="F762" s="157" t="s">
        <v>2035</v>
      </c>
    </row>
    <row r="763" spans="1:6" ht="15" customHeight="1">
      <c r="A763" s="155">
        <v>16</v>
      </c>
      <c r="B763" s="161" t="s">
        <v>2017</v>
      </c>
      <c r="C763" s="162" t="s">
        <v>2036</v>
      </c>
      <c r="D763" s="162" t="str">
        <f t="shared" si="12"/>
        <v>富山県滑川市</v>
      </c>
      <c r="E763" s="161">
        <v>5</v>
      </c>
      <c r="F763" s="157" t="s">
        <v>2037</v>
      </c>
    </row>
    <row r="764" spans="1:6" ht="15" customHeight="1">
      <c r="A764" s="155">
        <v>16</v>
      </c>
      <c r="B764" s="161" t="s">
        <v>2017</v>
      </c>
      <c r="C764" s="162" t="s">
        <v>2038</v>
      </c>
      <c r="D764" s="162" t="str">
        <f t="shared" si="12"/>
        <v>富山県南砺市</v>
      </c>
      <c r="E764" s="161">
        <v>5</v>
      </c>
      <c r="F764" s="157" t="s">
        <v>2039</v>
      </c>
    </row>
    <row r="765" spans="1:6" ht="15" customHeight="1">
      <c r="A765" s="155">
        <v>16</v>
      </c>
      <c r="B765" s="161" t="s">
        <v>2017</v>
      </c>
      <c r="C765" s="162" t="s">
        <v>2040</v>
      </c>
      <c r="D765" s="162" t="str">
        <f t="shared" si="12"/>
        <v>富山県入善町</v>
      </c>
      <c r="E765" s="161">
        <v>5</v>
      </c>
      <c r="F765" s="157" t="s">
        <v>2041</v>
      </c>
    </row>
    <row r="766" spans="1:6" ht="15" customHeight="1">
      <c r="A766" s="155">
        <v>16</v>
      </c>
      <c r="B766" s="161" t="s">
        <v>2017</v>
      </c>
      <c r="C766" s="162" t="s">
        <v>2042</v>
      </c>
      <c r="D766" s="162" t="str">
        <f t="shared" si="12"/>
        <v>富山県氷見市</v>
      </c>
      <c r="E766" s="161">
        <v>5</v>
      </c>
      <c r="F766" s="157" t="s">
        <v>2043</v>
      </c>
    </row>
    <row r="767" spans="1:6" ht="15" customHeight="1">
      <c r="A767" s="155">
        <v>16</v>
      </c>
      <c r="B767" s="161" t="s">
        <v>2017</v>
      </c>
      <c r="C767" s="162" t="s">
        <v>2044</v>
      </c>
      <c r="D767" s="162" t="str">
        <f t="shared" si="12"/>
        <v>富山県舟橋村</v>
      </c>
      <c r="E767" s="161">
        <v>5</v>
      </c>
      <c r="F767" s="157" t="s">
        <v>2045</v>
      </c>
    </row>
    <row r="768" spans="1:6" ht="15" customHeight="1">
      <c r="A768" s="155">
        <v>17</v>
      </c>
      <c r="B768" s="161" t="s">
        <v>2046</v>
      </c>
      <c r="C768" s="162" t="s">
        <v>2047</v>
      </c>
      <c r="D768" s="162" t="str">
        <f t="shared" si="12"/>
        <v>石川県穴水町</v>
      </c>
      <c r="E768" s="161">
        <v>5</v>
      </c>
      <c r="F768" s="157" t="s">
        <v>2048</v>
      </c>
    </row>
    <row r="769" spans="1:6" ht="15" customHeight="1">
      <c r="A769" s="155">
        <v>17</v>
      </c>
      <c r="B769" s="161" t="s">
        <v>2046</v>
      </c>
      <c r="C769" s="162" t="s">
        <v>2049</v>
      </c>
      <c r="D769" s="162" t="str">
        <f t="shared" si="12"/>
        <v>石川県内灘町</v>
      </c>
      <c r="E769" s="161">
        <v>5</v>
      </c>
      <c r="F769" s="157" t="s">
        <v>2050</v>
      </c>
    </row>
    <row r="770" spans="1:6" ht="15" customHeight="1">
      <c r="A770" s="155">
        <v>17</v>
      </c>
      <c r="B770" s="161" t="s">
        <v>2046</v>
      </c>
      <c r="C770" s="162" t="s">
        <v>2051</v>
      </c>
      <c r="D770" s="162" t="str">
        <f t="shared" si="12"/>
        <v>石川県加賀市</v>
      </c>
      <c r="E770" s="161">
        <v>5</v>
      </c>
      <c r="F770" s="157" t="s">
        <v>2052</v>
      </c>
    </row>
    <row r="771" spans="1:6" ht="15" customHeight="1">
      <c r="A771" s="155">
        <v>17</v>
      </c>
      <c r="B771" s="161" t="s">
        <v>2046</v>
      </c>
      <c r="C771" s="162" t="s">
        <v>2053</v>
      </c>
      <c r="D771" s="162" t="str">
        <f t="shared" si="12"/>
        <v>石川県金沢市</v>
      </c>
      <c r="E771" s="161">
        <v>6</v>
      </c>
      <c r="F771" s="157" t="s">
        <v>2054</v>
      </c>
    </row>
    <row r="772" spans="1:6" ht="15" customHeight="1">
      <c r="A772" s="155">
        <v>17</v>
      </c>
      <c r="B772" s="161" t="s">
        <v>2046</v>
      </c>
      <c r="C772" s="162" t="s">
        <v>2055</v>
      </c>
      <c r="D772" s="162" t="str">
        <f t="shared" ref="D772:D835" si="13">B772&amp;C772</f>
        <v>石川県かほく市</v>
      </c>
      <c r="E772" s="161">
        <v>5</v>
      </c>
      <c r="F772" s="157" t="s">
        <v>2056</v>
      </c>
    </row>
    <row r="773" spans="1:6" ht="15" customHeight="1">
      <c r="A773" s="155">
        <v>17</v>
      </c>
      <c r="B773" s="161" t="s">
        <v>2046</v>
      </c>
      <c r="C773" s="162" t="s">
        <v>2057</v>
      </c>
      <c r="D773" s="162" t="str">
        <f t="shared" si="13"/>
        <v>石川県川北町</v>
      </c>
      <c r="E773" s="161">
        <v>5</v>
      </c>
      <c r="F773" s="157" t="s">
        <v>2058</v>
      </c>
    </row>
    <row r="774" spans="1:6" ht="15" customHeight="1">
      <c r="A774" s="155">
        <v>17</v>
      </c>
      <c r="B774" s="161" t="s">
        <v>2046</v>
      </c>
      <c r="C774" s="162" t="s">
        <v>2059</v>
      </c>
      <c r="D774" s="162" t="str">
        <f t="shared" si="13"/>
        <v>石川県小松市</v>
      </c>
      <c r="E774" s="161">
        <v>6</v>
      </c>
      <c r="F774" s="157" t="s">
        <v>2060</v>
      </c>
    </row>
    <row r="775" spans="1:6" ht="15" customHeight="1">
      <c r="A775" s="155">
        <v>17</v>
      </c>
      <c r="B775" s="161" t="s">
        <v>2046</v>
      </c>
      <c r="C775" s="162" t="s">
        <v>2061</v>
      </c>
      <c r="D775" s="162" t="str">
        <f t="shared" si="13"/>
        <v>石川県志賀町</v>
      </c>
      <c r="E775" s="161">
        <v>5</v>
      </c>
      <c r="F775" s="157" t="s">
        <v>2062</v>
      </c>
    </row>
    <row r="776" spans="1:6" ht="15" customHeight="1">
      <c r="A776" s="155">
        <v>17</v>
      </c>
      <c r="B776" s="161" t="s">
        <v>2046</v>
      </c>
      <c r="C776" s="162" t="s">
        <v>2063</v>
      </c>
      <c r="D776" s="162" t="str">
        <f t="shared" si="13"/>
        <v>石川県珠洲市</v>
      </c>
      <c r="E776" s="161">
        <v>5</v>
      </c>
      <c r="F776" s="157" t="s">
        <v>2064</v>
      </c>
    </row>
    <row r="777" spans="1:6" ht="15" customHeight="1">
      <c r="A777" s="155">
        <v>17</v>
      </c>
      <c r="B777" s="161" t="s">
        <v>2046</v>
      </c>
      <c r="C777" s="162" t="s">
        <v>2065</v>
      </c>
      <c r="D777" s="162" t="str">
        <f t="shared" si="13"/>
        <v>石川県津幡町</v>
      </c>
      <c r="E777" s="161">
        <v>5</v>
      </c>
      <c r="F777" s="157" t="s">
        <v>2066</v>
      </c>
    </row>
    <row r="778" spans="1:6" ht="15" customHeight="1">
      <c r="A778" s="155">
        <v>17</v>
      </c>
      <c r="B778" s="161" t="s">
        <v>2046</v>
      </c>
      <c r="C778" s="162" t="s">
        <v>2067</v>
      </c>
      <c r="D778" s="162" t="str">
        <f t="shared" si="13"/>
        <v>石川県中能登町</v>
      </c>
      <c r="E778" s="161">
        <v>5</v>
      </c>
      <c r="F778" s="157" t="s">
        <v>2068</v>
      </c>
    </row>
    <row r="779" spans="1:6" ht="15" customHeight="1">
      <c r="A779" s="155">
        <v>17</v>
      </c>
      <c r="B779" s="161" t="s">
        <v>2046</v>
      </c>
      <c r="C779" s="162" t="s">
        <v>2069</v>
      </c>
      <c r="D779" s="162" t="str">
        <f t="shared" si="13"/>
        <v>石川県七尾市</v>
      </c>
      <c r="E779" s="161">
        <v>5</v>
      </c>
      <c r="F779" s="157" t="s">
        <v>2070</v>
      </c>
    </row>
    <row r="780" spans="1:6" ht="15" customHeight="1">
      <c r="A780" s="155">
        <v>17</v>
      </c>
      <c r="B780" s="161" t="s">
        <v>2046</v>
      </c>
      <c r="C780" s="162" t="s">
        <v>2071</v>
      </c>
      <c r="D780" s="162" t="str">
        <f t="shared" si="13"/>
        <v>石川県能登町</v>
      </c>
      <c r="E780" s="161">
        <v>5</v>
      </c>
      <c r="F780" s="157" t="s">
        <v>2072</v>
      </c>
    </row>
    <row r="781" spans="1:6" ht="15" customHeight="1">
      <c r="A781" s="155">
        <v>17</v>
      </c>
      <c r="B781" s="161" t="s">
        <v>2046</v>
      </c>
      <c r="C781" s="162" t="s">
        <v>2073</v>
      </c>
      <c r="D781" s="162" t="str">
        <f t="shared" si="13"/>
        <v>石川県野々市市</v>
      </c>
      <c r="E781" s="161">
        <v>6</v>
      </c>
      <c r="F781" s="157" t="s">
        <v>2074</v>
      </c>
    </row>
    <row r="782" spans="1:6" ht="15" customHeight="1">
      <c r="A782" s="155">
        <v>17</v>
      </c>
      <c r="B782" s="161" t="s">
        <v>2046</v>
      </c>
      <c r="C782" s="162" t="s">
        <v>2075</v>
      </c>
      <c r="D782" s="162" t="str">
        <f t="shared" si="13"/>
        <v>石川県能美市</v>
      </c>
      <c r="E782" s="161">
        <v>5</v>
      </c>
      <c r="F782" s="157" t="s">
        <v>2076</v>
      </c>
    </row>
    <row r="783" spans="1:6" ht="15" customHeight="1">
      <c r="A783" s="155">
        <v>17</v>
      </c>
      <c r="B783" s="161" t="s">
        <v>2046</v>
      </c>
      <c r="C783" s="162" t="s">
        <v>2077</v>
      </c>
      <c r="D783" s="162" t="str">
        <f t="shared" si="13"/>
        <v>石川県羽咋市</v>
      </c>
      <c r="E783" s="161">
        <v>5</v>
      </c>
      <c r="F783" s="157" t="s">
        <v>2078</v>
      </c>
    </row>
    <row r="784" spans="1:6" ht="15" customHeight="1">
      <c r="A784" s="155">
        <v>17</v>
      </c>
      <c r="B784" s="161" t="s">
        <v>2046</v>
      </c>
      <c r="C784" s="162" t="s">
        <v>2079</v>
      </c>
      <c r="D784" s="162" t="str">
        <f t="shared" si="13"/>
        <v>石川県白山市(旧河内村、旧吉野谷村、旧鳥越村、旧尾口村に限る。)</v>
      </c>
      <c r="E784" s="161">
        <v>4</v>
      </c>
      <c r="F784" s="157" t="s">
        <v>2080</v>
      </c>
    </row>
    <row r="785" spans="1:6" ht="15" customHeight="1">
      <c r="A785" s="155">
        <v>17</v>
      </c>
      <c r="B785" s="161" t="s">
        <v>2046</v>
      </c>
      <c r="C785" s="162" t="s">
        <v>2081</v>
      </c>
      <c r="D785" s="162" t="str">
        <f t="shared" si="13"/>
        <v>石川県白山市（旧白峰村に限る。）</v>
      </c>
      <c r="E785" s="161">
        <v>3</v>
      </c>
      <c r="F785" s="157" t="s">
        <v>2082</v>
      </c>
    </row>
    <row r="786" spans="1:6" ht="15" customHeight="1">
      <c r="A786" s="155">
        <v>17</v>
      </c>
      <c r="B786" s="161" t="s">
        <v>2046</v>
      </c>
      <c r="C786" s="162" t="s">
        <v>2083</v>
      </c>
      <c r="D786" s="162" t="str">
        <f t="shared" si="13"/>
        <v>石川県白山市(旧松任市に限る。)</v>
      </c>
      <c r="E786" s="161">
        <v>6</v>
      </c>
      <c r="F786" s="157" t="s">
        <v>2084</v>
      </c>
    </row>
    <row r="787" spans="1:6" ht="15" customHeight="1">
      <c r="A787" s="155">
        <v>17</v>
      </c>
      <c r="B787" s="161" t="s">
        <v>2046</v>
      </c>
      <c r="C787" s="162" t="s">
        <v>2085</v>
      </c>
      <c r="D787" s="162" t="str">
        <f t="shared" si="13"/>
        <v>石川県白山市(旧美川町、旧鶴来町に限る。)</v>
      </c>
      <c r="E787" s="161">
        <v>5</v>
      </c>
      <c r="F787" s="157" t="s">
        <v>2086</v>
      </c>
    </row>
    <row r="788" spans="1:6" ht="15" customHeight="1">
      <c r="A788" s="155">
        <v>17</v>
      </c>
      <c r="B788" s="161" t="s">
        <v>2046</v>
      </c>
      <c r="C788" s="162" t="s">
        <v>2087</v>
      </c>
      <c r="D788" s="162" t="str">
        <f t="shared" si="13"/>
        <v>石川県宝達志水町</v>
      </c>
      <c r="E788" s="161">
        <v>5</v>
      </c>
      <c r="F788" s="157" t="s">
        <v>2088</v>
      </c>
    </row>
    <row r="789" spans="1:6" ht="15" customHeight="1">
      <c r="A789" s="155">
        <v>17</v>
      </c>
      <c r="B789" s="161" t="s">
        <v>2046</v>
      </c>
      <c r="C789" s="162" t="s">
        <v>2089</v>
      </c>
      <c r="D789" s="162" t="str">
        <f t="shared" si="13"/>
        <v>石川県輪島市</v>
      </c>
      <c r="E789" s="161">
        <v>5</v>
      </c>
      <c r="F789" s="157" t="s">
        <v>2090</v>
      </c>
    </row>
    <row r="790" spans="1:6" ht="15" customHeight="1">
      <c r="A790" s="155">
        <v>18</v>
      </c>
      <c r="B790" s="161" t="s">
        <v>2091</v>
      </c>
      <c r="C790" s="162" t="s">
        <v>2092</v>
      </c>
      <c r="D790" s="162" t="str">
        <f t="shared" si="13"/>
        <v>福井県あわら市</v>
      </c>
      <c r="E790" s="161">
        <v>5</v>
      </c>
      <c r="F790" s="157" t="s">
        <v>2093</v>
      </c>
    </row>
    <row r="791" spans="1:6" ht="15" customHeight="1">
      <c r="A791" s="155">
        <v>18</v>
      </c>
      <c r="B791" s="161" t="s">
        <v>2091</v>
      </c>
      <c r="C791" s="162" t="s">
        <v>557</v>
      </c>
      <c r="D791" s="162" t="str">
        <f t="shared" si="13"/>
        <v>福井県池田町</v>
      </c>
      <c r="E791" s="161">
        <v>4</v>
      </c>
      <c r="F791" s="157" t="s">
        <v>558</v>
      </c>
    </row>
    <row r="792" spans="1:6" ht="15" customHeight="1">
      <c r="A792" s="155">
        <v>18</v>
      </c>
      <c r="B792" s="161" t="s">
        <v>2091</v>
      </c>
      <c r="C792" s="162" t="s">
        <v>2094</v>
      </c>
      <c r="D792" s="162" t="str">
        <f t="shared" si="13"/>
        <v>福井県永平寺町</v>
      </c>
      <c r="E792" s="161">
        <v>5</v>
      </c>
      <c r="F792" s="157" t="s">
        <v>2095</v>
      </c>
    </row>
    <row r="793" spans="1:6" ht="15" customHeight="1">
      <c r="A793" s="155">
        <v>18</v>
      </c>
      <c r="B793" s="161" t="s">
        <v>2091</v>
      </c>
      <c r="C793" s="162" t="s">
        <v>2096</v>
      </c>
      <c r="D793" s="162" t="str">
        <f t="shared" si="13"/>
        <v>福井県越前市</v>
      </c>
      <c r="E793" s="161">
        <v>6</v>
      </c>
      <c r="F793" s="157" t="s">
        <v>2097</v>
      </c>
    </row>
    <row r="794" spans="1:6" ht="15" customHeight="1">
      <c r="A794" s="155">
        <v>18</v>
      </c>
      <c r="B794" s="161" t="s">
        <v>2091</v>
      </c>
      <c r="C794" s="162" t="s">
        <v>2098</v>
      </c>
      <c r="D794" s="162" t="str">
        <f t="shared" si="13"/>
        <v>福井県越前町</v>
      </c>
      <c r="E794" s="161">
        <v>6</v>
      </c>
      <c r="F794" s="157" t="s">
        <v>2099</v>
      </c>
    </row>
    <row r="795" spans="1:6" ht="15" customHeight="1">
      <c r="A795" s="155">
        <v>18</v>
      </c>
      <c r="B795" s="161" t="s">
        <v>2091</v>
      </c>
      <c r="C795" s="162" t="s">
        <v>2100</v>
      </c>
      <c r="D795" s="162" t="str">
        <f t="shared" si="13"/>
        <v>福井県おおい町</v>
      </c>
      <c r="E795" s="161">
        <v>6</v>
      </c>
      <c r="F795" s="157" t="s">
        <v>2101</v>
      </c>
    </row>
    <row r="796" spans="1:6" ht="15" customHeight="1">
      <c r="A796" s="155">
        <v>18</v>
      </c>
      <c r="B796" s="161" t="s">
        <v>2091</v>
      </c>
      <c r="C796" s="162" t="s">
        <v>2102</v>
      </c>
      <c r="D796" s="162" t="str">
        <f t="shared" si="13"/>
        <v>福井県大野市</v>
      </c>
      <c r="E796" s="161">
        <v>5</v>
      </c>
      <c r="F796" s="157" t="s">
        <v>2103</v>
      </c>
    </row>
    <row r="797" spans="1:6" ht="15" customHeight="1">
      <c r="A797" s="155">
        <v>18</v>
      </c>
      <c r="B797" s="161" t="s">
        <v>2091</v>
      </c>
      <c r="C797" s="162" t="s">
        <v>2104</v>
      </c>
      <c r="D797" s="162" t="str">
        <f t="shared" si="13"/>
        <v>福井県小浜市</v>
      </c>
      <c r="E797" s="161">
        <v>6</v>
      </c>
      <c r="F797" s="157" t="s">
        <v>2105</v>
      </c>
    </row>
    <row r="798" spans="1:6" ht="15" customHeight="1">
      <c r="A798" s="155">
        <v>18</v>
      </c>
      <c r="B798" s="161" t="s">
        <v>2091</v>
      </c>
      <c r="C798" s="162" t="s">
        <v>2106</v>
      </c>
      <c r="D798" s="162" t="str">
        <f t="shared" si="13"/>
        <v>福井県勝山市</v>
      </c>
      <c r="E798" s="161">
        <v>5</v>
      </c>
      <c r="F798" s="157" t="s">
        <v>2107</v>
      </c>
    </row>
    <row r="799" spans="1:6" ht="15" customHeight="1">
      <c r="A799" s="155">
        <v>18</v>
      </c>
      <c r="B799" s="161" t="s">
        <v>2091</v>
      </c>
      <c r="C799" s="162" t="s">
        <v>2108</v>
      </c>
      <c r="D799" s="162" t="str">
        <f t="shared" si="13"/>
        <v>福井県坂井市</v>
      </c>
      <c r="E799" s="161">
        <v>5</v>
      </c>
      <c r="F799" s="157" t="s">
        <v>2109</v>
      </c>
    </row>
    <row r="800" spans="1:6" ht="15" customHeight="1">
      <c r="A800" s="155">
        <v>18</v>
      </c>
      <c r="B800" s="161" t="s">
        <v>2091</v>
      </c>
      <c r="C800" s="162" t="s">
        <v>2110</v>
      </c>
      <c r="D800" s="162" t="str">
        <f t="shared" si="13"/>
        <v>福井県鯖江市</v>
      </c>
      <c r="E800" s="161">
        <v>6</v>
      </c>
      <c r="F800" s="157" t="s">
        <v>2111</v>
      </c>
    </row>
    <row r="801" spans="1:6" ht="15" customHeight="1">
      <c r="A801" s="155">
        <v>18</v>
      </c>
      <c r="B801" s="161" t="s">
        <v>2091</v>
      </c>
      <c r="C801" s="162" t="s">
        <v>2112</v>
      </c>
      <c r="D801" s="162" t="str">
        <f t="shared" si="13"/>
        <v>福井県高浜町</v>
      </c>
      <c r="E801" s="161">
        <v>6</v>
      </c>
      <c r="F801" s="157" t="s">
        <v>2113</v>
      </c>
    </row>
    <row r="802" spans="1:6" ht="15" customHeight="1">
      <c r="A802" s="155">
        <v>18</v>
      </c>
      <c r="B802" s="161" t="s">
        <v>2091</v>
      </c>
      <c r="C802" s="162" t="s">
        <v>2114</v>
      </c>
      <c r="D802" s="162" t="str">
        <f t="shared" si="13"/>
        <v>福井県敦賀市</v>
      </c>
      <c r="E802" s="161">
        <v>6</v>
      </c>
      <c r="F802" s="157" t="s">
        <v>2115</v>
      </c>
    </row>
    <row r="803" spans="1:6" ht="15" customHeight="1">
      <c r="A803" s="155">
        <v>18</v>
      </c>
      <c r="B803" s="161" t="s">
        <v>2091</v>
      </c>
      <c r="C803" s="162" t="s">
        <v>2116</v>
      </c>
      <c r="D803" s="162" t="str">
        <f t="shared" si="13"/>
        <v>福井県福井市</v>
      </c>
      <c r="E803" s="161">
        <v>6</v>
      </c>
      <c r="F803" s="157" t="s">
        <v>2117</v>
      </c>
    </row>
    <row r="804" spans="1:6" ht="15" customHeight="1">
      <c r="A804" s="155">
        <v>18</v>
      </c>
      <c r="B804" s="161" t="s">
        <v>2091</v>
      </c>
      <c r="C804" s="162" t="s">
        <v>2118</v>
      </c>
      <c r="D804" s="162" t="str">
        <f t="shared" si="13"/>
        <v>福井県南越前町</v>
      </c>
      <c r="E804" s="161">
        <v>5</v>
      </c>
      <c r="F804" s="157" t="s">
        <v>2119</v>
      </c>
    </row>
    <row r="805" spans="1:6" ht="15" customHeight="1">
      <c r="A805" s="155">
        <v>18</v>
      </c>
      <c r="B805" s="161" t="s">
        <v>2091</v>
      </c>
      <c r="C805" s="162" t="s">
        <v>2120</v>
      </c>
      <c r="D805" s="162" t="str">
        <f t="shared" si="13"/>
        <v>福井県美浜町</v>
      </c>
      <c r="E805" s="161">
        <v>6</v>
      </c>
      <c r="F805" s="157" t="s">
        <v>2121</v>
      </c>
    </row>
    <row r="806" spans="1:6" ht="15" customHeight="1">
      <c r="A806" s="155">
        <v>18</v>
      </c>
      <c r="B806" s="161" t="s">
        <v>2091</v>
      </c>
      <c r="C806" s="162" t="s">
        <v>2122</v>
      </c>
      <c r="D806" s="162" t="str">
        <f t="shared" si="13"/>
        <v>福井県若狭町</v>
      </c>
      <c r="E806" s="161">
        <v>5</v>
      </c>
      <c r="F806" s="157" t="s">
        <v>2123</v>
      </c>
    </row>
    <row r="807" spans="1:6" ht="15" customHeight="1">
      <c r="A807" s="155">
        <v>19</v>
      </c>
      <c r="B807" s="161" t="s">
        <v>2124</v>
      </c>
      <c r="C807" s="162" t="s">
        <v>2125</v>
      </c>
      <c r="D807" s="162" t="str">
        <f t="shared" si="13"/>
        <v>山梨県市川三郷町</v>
      </c>
      <c r="E807" s="161">
        <v>5</v>
      </c>
      <c r="F807" s="157" t="s">
        <v>2126</v>
      </c>
    </row>
    <row r="808" spans="1:6" ht="15" customHeight="1">
      <c r="A808" s="155">
        <v>19</v>
      </c>
      <c r="B808" s="161" t="s">
        <v>2124</v>
      </c>
      <c r="C808" s="162" t="s">
        <v>2127</v>
      </c>
      <c r="D808" s="162" t="str">
        <f t="shared" si="13"/>
        <v>山梨県上野原市</v>
      </c>
      <c r="E808" s="161">
        <v>5</v>
      </c>
      <c r="F808" s="157" t="s">
        <v>2128</v>
      </c>
    </row>
    <row r="809" spans="1:6" ht="15" customHeight="1">
      <c r="A809" s="155">
        <v>19</v>
      </c>
      <c r="B809" s="161" t="s">
        <v>2124</v>
      </c>
      <c r="C809" s="162" t="s">
        <v>2129</v>
      </c>
      <c r="D809" s="162" t="str">
        <f t="shared" si="13"/>
        <v>山梨県大月市</v>
      </c>
      <c r="E809" s="161">
        <v>5</v>
      </c>
      <c r="F809" s="157" t="s">
        <v>2130</v>
      </c>
    </row>
    <row r="810" spans="1:6" ht="15" customHeight="1">
      <c r="A810" s="155">
        <v>19</v>
      </c>
      <c r="B810" s="161" t="s">
        <v>2124</v>
      </c>
      <c r="C810" s="162" t="s">
        <v>2131</v>
      </c>
      <c r="D810" s="162" t="str">
        <f t="shared" si="13"/>
        <v>山梨県忍野村</v>
      </c>
      <c r="E810" s="161">
        <v>3</v>
      </c>
      <c r="F810" s="157" t="s">
        <v>2132</v>
      </c>
    </row>
    <row r="811" spans="1:6" ht="15" customHeight="1">
      <c r="A811" s="155">
        <v>19</v>
      </c>
      <c r="B811" s="161" t="s">
        <v>2124</v>
      </c>
      <c r="C811" s="162" t="s">
        <v>2133</v>
      </c>
      <c r="D811" s="162" t="str">
        <f t="shared" si="13"/>
        <v>山梨県甲斐市</v>
      </c>
      <c r="E811" s="161">
        <v>5</v>
      </c>
      <c r="F811" s="157" t="s">
        <v>2134</v>
      </c>
    </row>
    <row r="812" spans="1:6" ht="15" customHeight="1">
      <c r="A812" s="155">
        <v>19</v>
      </c>
      <c r="B812" s="161" t="s">
        <v>2124</v>
      </c>
      <c r="C812" s="162" t="s">
        <v>2135</v>
      </c>
      <c r="D812" s="162" t="str">
        <f t="shared" si="13"/>
        <v>山梨県甲州市（旧塩山市、旧勝沼町に限る。）</v>
      </c>
      <c r="E812" s="161">
        <v>5</v>
      </c>
      <c r="F812" s="157" t="s">
        <v>2136</v>
      </c>
    </row>
    <row r="813" spans="1:6" ht="15" customHeight="1">
      <c r="A813" s="155">
        <v>19</v>
      </c>
      <c r="B813" s="161" t="s">
        <v>2124</v>
      </c>
      <c r="C813" s="162" t="s">
        <v>2137</v>
      </c>
      <c r="D813" s="162" t="str">
        <f t="shared" si="13"/>
        <v>山梨県甲州市（旧大和村に限る。）</v>
      </c>
      <c r="E813" s="161">
        <v>4</v>
      </c>
      <c r="F813" s="157" t="s">
        <v>2138</v>
      </c>
    </row>
    <row r="814" spans="1:6" ht="15" customHeight="1">
      <c r="A814" s="155">
        <v>19</v>
      </c>
      <c r="B814" s="161" t="s">
        <v>2124</v>
      </c>
      <c r="C814" s="162" t="s">
        <v>2139</v>
      </c>
      <c r="D814" s="162" t="str">
        <f t="shared" si="13"/>
        <v>山梨県甲府市(旧上九一色村に限る。)</v>
      </c>
      <c r="E814" s="161">
        <v>4</v>
      </c>
      <c r="F814" s="157" t="s">
        <v>2140</v>
      </c>
    </row>
    <row r="815" spans="1:6" ht="15" customHeight="1">
      <c r="A815" s="155">
        <v>19</v>
      </c>
      <c r="B815" s="161" t="s">
        <v>2124</v>
      </c>
      <c r="C815" s="162" t="s">
        <v>2141</v>
      </c>
      <c r="D815" s="162" t="str">
        <f t="shared" si="13"/>
        <v>山梨県甲府市（旧甲府市に限る。）</v>
      </c>
      <c r="E815" s="161">
        <v>6</v>
      </c>
      <c r="F815" s="157" t="s">
        <v>2142</v>
      </c>
    </row>
    <row r="816" spans="1:6" ht="15" customHeight="1">
      <c r="A816" s="155">
        <v>19</v>
      </c>
      <c r="B816" s="161" t="s">
        <v>2124</v>
      </c>
      <c r="C816" s="162" t="s">
        <v>2143</v>
      </c>
      <c r="D816" s="162" t="str">
        <f t="shared" si="13"/>
        <v>山梨県甲府市(旧中道町に限る。)</v>
      </c>
      <c r="E816" s="161">
        <v>5</v>
      </c>
      <c r="F816" s="157" t="s">
        <v>2144</v>
      </c>
    </row>
    <row r="817" spans="1:6" ht="15" customHeight="1">
      <c r="A817" s="155">
        <v>19</v>
      </c>
      <c r="B817" s="161" t="s">
        <v>2124</v>
      </c>
      <c r="C817" s="162" t="s">
        <v>2145</v>
      </c>
      <c r="D817" s="162" t="str">
        <f t="shared" si="13"/>
        <v>山梨県小菅村</v>
      </c>
      <c r="E817" s="161">
        <v>3</v>
      </c>
      <c r="F817" s="157" t="s">
        <v>2146</v>
      </c>
    </row>
    <row r="818" spans="1:6" ht="15" customHeight="1">
      <c r="A818" s="155">
        <v>19</v>
      </c>
      <c r="B818" s="161" t="s">
        <v>2124</v>
      </c>
      <c r="C818" s="162" t="s">
        <v>2147</v>
      </c>
      <c r="D818" s="162" t="str">
        <f t="shared" si="13"/>
        <v>山梨県昭和町</v>
      </c>
      <c r="E818" s="161">
        <v>6</v>
      </c>
      <c r="F818" s="157" t="s">
        <v>2148</v>
      </c>
    </row>
    <row r="819" spans="1:6" ht="15" customHeight="1">
      <c r="A819" s="155">
        <v>19</v>
      </c>
      <c r="B819" s="161" t="s">
        <v>2124</v>
      </c>
      <c r="C819" s="162" t="s">
        <v>2149</v>
      </c>
      <c r="D819" s="162" t="str">
        <f t="shared" si="13"/>
        <v>山梨県丹波山村</v>
      </c>
      <c r="E819" s="161">
        <v>3</v>
      </c>
      <c r="F819" s="157" t="s">
        <v>2150</v>
      </c>
    </row>
    <row r="820" spans="1:6" ht="15" customHeight="1">
      <c r="A820" s="155">
        <v>19</v>
      </c>
      <c r="B820" s="161" t="s">
        <v>2124</v>
      </c>
      <c r="C820" s="162" t="s">
        <v>2151</v>
      </c>
      <c r="D820" s="162" t="str">
        <f t="shared" si="13"/>
        <v>山梨県中央市</v>
      </c>
      <c r="E820" s="161">
        <v>5</v>
      </c>
      <c r="F820" s="157" t="s">
        <v>2152</v>
      </c>
    </row>
    <row r="821" spans="1:6" ht="15" customHeight="1">
      <c r="A821" s="155">
        <v>19</v>
      </c>
      <c r="B821" s="161" t="s">
        <v>2124</v>
      </c>
      <c r="C821" s="162" t="s">
        <v>2153</v>
      </c>
      <c r="D821" s="162" t="str">
        <f t="shared" si="13"/>
        <v>山梨県都留市</v>
      </c>
      <c r="E821" s="161">
        <v>5</v>
      </c>
      <c r="F821" s="157" t="s">
        <v>2154</v>
      </c>
    </row>
    <row r="822" spans="1:6" ht="15" customHeight="1">
      <c r="A822" s="155">
        <v>19</v>
      </c>
      <c r="B822" s="161" t="s">
        <v>2124</v>
      </c>
      <c r="C822" s="162" t="s">
        <v>2155</v>
      </c>
      <c r="D822" s="162" t="str">
        <f t="shared" si="13"/>
        <v>山梨県道志村</v>
      </c>
      <c r="E822" s="161">
        <v>4</v>
      </c>
      <c r="F822" s="157" t="s">
        <v>2156</v>
      </c>
    </row>
    <row r="823" spans="1:6" ht="15" customHeight="1">
      <c r="A823" s="155">
        <v>19</v>
      </c>
      <c r="B823" s="161" t="s">
        <v>2124</v>
      </c>
      <c r="C823" s="162" t="s">
        <v>2157</v>
      </c>
      <c r="D823" s="162" t="str">
        <f t="shared" si="13"/>
        <v>山梨県鳴沢村</v>
      </c>
      <c r="E823" s="161">
        <v>3</v>
      </c>
      <c r="F823" s="157" t="s">
        <v>2158</v>
      </c>
    </row>
    <row r="824" spans="1:6" ht="15" customHeight="1">
      <c r="A824" s="155">
        <v>19</v>
      </c>
      <c r="B824" s="161" t="s">
        <v>2124</v>
      </c>
      <c r="C824" s="162" t="s">
        <v>983</v>
      </c>
      <c r="D824" s="162" t="str">
        <f t="shared" si="13"/>
        <v>山梨県南部町</v>
      </c>
      <c r="E824" s="161">
        <v>6</v>
      </c>
      <c r="F824" s="157" t="s">
        <v>984</v>
      </c>
    </row>
    <row r="825" spans="1:6" ht="15" customHeight="1">
      <c r="A825" s="155">
        <v>19</v>
      </c>
      <c r="B825" s="161" t="s">
        <v>2124</v>
      </c>
      <c r="C825" s="162" t="s">
        <v>2159</v>
      </c>
      <c r="D825" s="162" t="str">
        <f t="shared" si="13"/>
        <v>山梨県西桂町</v>
      </c>
      <c r="E825" s="161">
        <v>4</v>
      </c>
      <c r="F825" s="157" t="s">
        <v>2160</v>
      </c>
    </row>
    <row r="826" spans="1:6" ht="15" customHeight="1">
      <c r="A826" s="155">
        <v>19</v>
      </c>
      <c r="B826" s="161" t="s">
        <v>2124</v>
      </c>
      <c r="C826" s="162" t="s">
        <v>2161</v>
      </c>
      <c r="D826" s="162" t="str">
        <f t="shared" si="13"/>
        <v>山梨県韮崎市</v>
      </c>
      <c r="E826" s="161">
        <v>5</v>
      </c>
      <c r="F826" s="157" t="s">
        <v>2162</v>
      </c>
    </row>
    <row r="827" spans="1:6" ht="15" customHeight="1">
      <c r="A827" s="155">
        <v>19</v>
      </c>
      <c r="B827" s="161" t="s">
        <v>2124</v>
      </c>
      <c r="C827" s="162" t="s">
        <v>2163</v>
      </c>
      <c r="D827" s="162" t="str">
        <f t="shared" si="13"/>
        <v>山梨県早川町</v>
      </c>
      <c r="E827" s="161">
        <v>5</v>
      </c>
      <c r="F827" s="157" t="s">
        <v>2164</v>
      </c>
    </row>
    <row r="828" spans="1:6" ht="15" customHeight="1">
      <c r="A828" s="155">
        <v>19</v>
      </c>
      <c r="B828" s="161" t="s">
        <v>2124</v>
      </c>
      <c r="C828" s="162" t="s">
        <v>2165</v>
      </c>
      <c r="D828" s="162" t="str">
        <f t="shared" si="13"/>
        <v>山梨県笛吹市(旧芦川村に限る。)</v>
      </c>
      <c r="E828" s="161">
        <v>3</v>
      </c>
      <c r="F828" s="157" t="s">
        <v>2166</v>
      </c>
    </row>
    <row r="829" spans="1:6" ht="15" customHeight="1">
      <c r="A829" s="155">
        <v>19</v>
      </c>
      <c r="B829" s="161" t="s">
        <v>2124</v>
      </c>
      <c r="C829" s="162" t="s">
        <v>2167</v>
      </c>
      <c r="D829" s="162" t="str">
        <f t="shared" si="13"/>
        <v>山梨県笛吹市（旧春日居町、旧石和町、旧御坂町、旧一宮町、旧八代町、旧境川村に限る。)</v>
      </c>
      <c r="E829" s="161">
        <v>5</v>
      </c>
      <c r="F829" s="157" t="s">
        <v>2168</v>
      </c>
    </row>
    <row r="830" spans="1:6" ht="15" customHeight="1">
      <c r="A830" s="155">
        <v>19</v>
      </c>
      <c r="B830" s="161" t="s">
        <v>2124</v>
      </c>
      <c r="C830" s="162" t="s">
        <v>2169</v>
      </c>
      <c r="D830" s="162" t="str">
        <f t="shared" si="13"/>
        <v>山梨県富士河口湖町</v>
      </c>
      <c r="E830" s="161">
        <v>4</v>
      </c>
      <c r="F830" s="157" t="s">
        <v>2170</v>
      </c>
    </row>
    <row r="831" spans="1:6" ht="15" customHeight="1">
      <c r="A831" s="155">
        <v>19</v>
      </c>
      <c r="B831" s="161" t="s">
        <v>2124</v>
      </c>
      <c r="C831" s="162" t="s">
        <v>2171</v>
      </c>
      <c r="D831" s="162" t="str">
        <f t="shared" si="13"/>
        <v>山梨県富士川町</v>
      </c>
      <c r="E831" s="161">
        <v>5</v>
      </c>
      <c r="F831" s="157" t="s">
        <v>2172</v>
      </c>
    </row>
    <row r="832" spans="1:6" ht="15" customHeight="1">
      <c r="A832" s="155">
        <v>19</v>
      </c>
      <c r="B832" s="161" t="s">
        <v>2124</v>
      </c>
      <c r="C832" s="162" t="s">
        <v>2173</v>
      </c>
      <c r="D832" s="162" t="str">
        <f t="shared" si="13"/>
        <v>山梨県富士吉田市</v>
      </c>
      <c r="E832" s="161">
        <v>4</v>
      </c>
      <c r="F832" s="157" t="s">
        <v>2174</v>
      </c>
    </row>
    <row r="833" spans="1:6" ht="15" customHeight="1">
      <c r="A833" s="155">
        <v>19</v>
      </c>
      <c r="B833" s="161" t="s">
        <v>2124</v>
      </c>
      <c r="C833" s="162" t="s">
        <v>2175</v>
      </c>
      <c r="D833" s="162" t="str">
        <f t="shared" si="13"/>
        <v>山梨県北杜市(旧明野村、旧須玉町、旧高根町、旧長坂町、旧大泉村、旧白州町に限る。)</v>
      </c>
      <c r="E833" s="161">
        <v>4</v>
      </c>
      <c r="F833" s="157" t="s">
        <v>2176</v>
      </c>
    </row>
    <row r="834" spans="1:6" ht="15" customHeight="1">
      <c r="A834" s="155">
        <v>19</v>
      </c>
      <c r="B834" s="161" t="s">
        <v>2124</v>
      </c>
      <c r="C834" s="162" t="s">
        <v>2177</v>
      </c>
      <c r="D834" s="162" t="str">
        <f t="shared" si="13"/>
        <v>山梨県北杜市(旧小淵沢町に限る。)</v>
      </c>
      <c r="E834" s="161">
        <v>3</v>
      </c>
      <c r="F834" s="157" t="s">
        <v>2178</v>
      </c>
    </row>
    <row r="835" spans="1:6" ht="15" customHeight="1">
      <c r="A835" s="155">
        <v>19</v>
      </c>
      <c r="B835" s="161" t="s">
        <v>2124</v>
      </c>
      <c r="C835" s="162" t="s">
        <v>2179</v>
      </c>
      <c r="D835" s="162" t="str">
        <f t="shared" si="13"/>
        <v>山梨県北杜市（旧武川村に限る。）</v>
      </c>
      <c r="E835" s="161">
        <v>5</v>
      </c>
      <c r="F835" s="157" t="s">
        <v>2180</v>
      </c>
    </row>
    <row r="836" spans="1:6" ht="15" customHeight="1">
      <c r="A836" s="155">
        <v>19</v>
      </c>
      <c r="B836" s="161" t="s">
        <v>2124</v>
      </c>
      <c r="C836" s="162" t="s">
        <v>2181</v>
      </c>
      <c r="D836" s="162" t="str">
        <f t="shared" ref="D836:D899" si="14">B836&amp;C836</f>
        <v>山梨県南アルプス市</v>
      </c>
      <c r="E836" s="161">
        <v>5</v>
      </c>
      <c r="F836" s="157" t="s">
        <v>2182</v>
      </c>
    </row>
    <row r="837" spans="1:6" ht="15" customHeight="1">
      <c r="A837" s="155">
        <v>19</v>
      </c>
      <c r="B837" s="161" t="s">
        <v>2124</v>
      </c>
      <c r="C837" s="162" t="s">
        <v>2183</v>
      </c>
      <c r="D837" s="162" t="str">
        <f t="shared" si="14"/>
        <v>山梨県身延町</v>
      </c>
      <c r="E837" s="161">
        <v>5</v>
      </c>
      <c r="F837" s="157" t="s">
        <v>2184</v>
      </c>
    </row>
    <row r="838" spans="1:6" ht="15" customHeight="1">
      <c r="A838" s="155">
        <v>19</v>
      </c>
      <c r="B838" s="161" t="s">
        <v>2124</v>
      </c>
      <c r="C838" s="162" t="s">
        <v>2185</v>
      </c>
      <c r="D838" s="162" t="str">
        <f t="shared" si="14"/>
        <v>山梨県山中湖村</v>
      </c>
      <c r="E838" s="161">
        <v>3</v>
      </c>
      <c r="F838" s="157" t="s">
        <v>2186</v>
      </c>
    </row>
    <row r="839" spans="1:6" ht="15" customHeight="1">
      <c r="A839" s="155">
        <v>19</v>
      </c>
      <c r="B839" s="161" t="s">
        <v>2124</v>
      </c>
      <c r="C839" s="162" t="s">
        <v>2187</v>
      </c>
      <c r="D839" s="162" t="str">
        <f t="shared" si="14"/>
        <v>山梨県山梨市</v>
      </c>
      <c r="E839" s="161">
        <v>5</v>
      </c>
      <c r="F839" s="157" t="s">
        <v>2188</v>
      </c>
    </row>
    <row r="840" spans="1:6" ht="15" customHeight="1">
      <c r="A840" s="155">
        <v>20</v>
      </c>
      <c r="B840" s="161" t="s">
        <v>2189</v>
      </c>
      <c r="C840" s="162" t="s">
        <v>2190</v>
      </c>
      <c r="D840" s="162" t="str">
        <f t="shared" si="14"/>
        <v>長野県青木村</v>
      </c>
      <c r="E840" s="161">
        <v>4</v>
      </c>
      <c r="F840" s="163" t="s">
        <v>2191</v>
      </c>
    </row>
    <row r="841" spans="1:6" ht="15" customHeight="1">
      <c r="A841" s="155">
        <v>20</v>
      </c>
      <c r="B841" s="161" t="s">
        <v>2189</v>
      </c>
      <c r="C841" s="162" t="s">
        <v>2192</v>
      </c>
      <c r="D841" s="162" t="str">
        <f t="shared" si="14"/>
        <v>長野県上松町</v>
      </c>
      <c r="E841" s="161">
        <v>3</v>
      </c>
      <c r="F841" s="163" t="s">
        <v>2193</v>
      </c>
    </row>
    <row r="842" spans="1:6" ht="15" customHeight="1">
      <c r="A842" s="155">
        <v>20</v>
      </c>
      <c r="B842" s="161" t="s">
        <v>2189</v>
      </c>
      <c r="C842" s="162" t="s">
        <v>2194</v>
      </c>
      <c r="D842" s="162" t="str">
        <f t="shared" si="14"/>
        <v>長野県朝日村</v>
      </c>
      <c r="E842" s="161">
        <v>3</v>
      </c>
      <c r="F842" s="163" t="s">
        <v>2195</v>
      </c>
    </row>
    <row r="843" spans="1:6" ht="15" customHeight="1">
      <c r="A843" s="155">
        <v>20</v>
      </c>
      <c r="B843" s="161" t="s">
        <v>2189</v>
      </c>
      <c r="C843" s="162" t="s">
        <v>2196</v>
      </c>
      <c r="D843" s="162" t="str">
        <f t="shared" si="14"/>
        <v>長野県安曇野市</v>
      </c>
      <c r="E843" s="161">
        <v>4</v>
      </c>
      <c r="F843" s="163" t="s">
        <v>2197</v>
      </c>
    </row>
    <row r="844" spans="1:6" ht="15" customHeight="1">
      <c r="A844" s="155">
        <v>20</v>
      </c>
      <c r="B844" s="161" t="s">
        <v>2189</v>
      </c>
      <c r="C844" s="162" t="s">
        <v>2198</v>
      </c>
      <c r="D844" s="162" t="str">
        <f t="shared" si="14"/>
        <v>長野県阿智村</v>
      </c>
      <c r="E844" s="161">
        <v>4</v>
      </c>
      <c r="F844" s="163" t="s">
        <v>2199</v>
      </c>
    </row>
    <row r="845" spans="1:6" ht="15" customHeight="1">
      <c r="A845" s="155">
        <v>20</v>
      </c>
      <c r="B845" s="161" t="s">
        <v>2189</v>
      </c>
      <c r="C845" s="162" t="s">
        <v>2200</v>
      </c>
      <c r="D845" s="162" t="str">
        <f t="shared" si="14"/>
        <v>長野県阿南町</v>
      </c>
      <c r="E845" s="161">
        <v>4</v>
      </c>
      <c r="F845" s="163" t="s">
        <v>2201</v>
      </c>
    </row>
    <row r="846" spans="1:6" ht="15" customHeight="1">
      <c r="A846" s="155">
        <v>20</v>
      </c>
      <c r="B846" s="161" t="s">
        <v>2189</v>
      </c>
      <c r="C846" s="162" t="s">
        <v>2202</v>
      </c>
      <c r="D846" s="162" t="str">
        <f t="shared" si="14"/>
        <v>長野県飯田市</v>
      </c>
      <c r="E846" s="161">
        <v>5</v>
      </c>
      <c r="F846" s="163" t="s">
        <v>2203</v>
      </c>
    </row>
    <row r="847" spans="1:6" ht="15" customHeight="1">
      <c r="A847" s="155">
        <v>20</v>
      </c>
      <c r="B847" s="161" t="s">
        <v>2189</v>
      </c>
      <c r="C847" s="162" t="s">
        <v>2204</v>
      </c>
      <c r="D847" s="162" t="str">
        <f t="shared" si="14"/>
        <v>長野県飯綱町</v>
      </c>
      <c r="E847" s="161">
        <v>3</v>
      </c>
      <c r="F847" s="163" t="s">
        <v>2205</v>
      </c>
    </row>
    <row r="848" spans="1:6" ht="15" customHeight="1">
      <c r="A848" s="155">
        <v>20</v>
      </c>
      <c r="B848" s="161" t="s">
        <v>2189</v>
      </c>
      <c r="C848" s="162" t="s">
        <v>2206</v>
      </c>
      <c r="D848" s="162" t="str">
        <f t="shared" si="14"/>
        <v>長野県飯山市</v>
      </c>
      <c r="E848" s="161">
        <v>4</v>
      </c>
      <c r="F848" s="163" t="s">
        <v>2207</v>
      </c>
    </row>
    <row r="849" spans="1:6" ht="15" customHeight="1">
      <c r="A849" s="155">
        <v>20</v>
      </c>
      <c r="B849" s="161" t="s">
        <v>2189</v>
      </c>
      <c r="C849" s="162" t="s">
        <v>2208</v>
      </c>
      <c r="D849" s="162" t="str">
        <f t="shared" si="14"/>
        <v>長野県生坂村</v>
      </c>
      <c r="E849" s="161">
        <v>3</v>
      </c>
      <c r="F849" s="163" t="s">
        <v>2209</v>
      </c>
    </row>
    <row r="850" spans="1:6" ht="15" customHeight="1">
      <c r="A850" s="155">
        <v>20</v>
      </c>
      <c r="B850" s="161" t="s">
        <v>2189</v>
      </c>
      <c r="C850" s="162" t="s">
        <v>2210</v>
      </c>
      <c r="D850" s="162" t="str">
        <f t="shared" si="14"/>
        <v>長野県池田町</v>
      </c>
      <c r="E850" s="161">
        <v>4</v>
      </c>
      <c r="F850" s="163" t="s">
        <v>558</v>
      </c>
    </row>
    <row r="851" spans="1:6" ht="15" customHeight="1">
      <c r="A851" s="155">
        <v>20</v>
      </c>
      <c r="B851" s="161" t="s">
        <v>2189</v>
      </c>
      <c r="C851" s="162" t="s">
        <v>2211</v>
      </c>
      <c r="D851" s="162" t="str">
        <f t="shared" si="14"/>
        <v>長野県伊那市</v>
      </c>
      <c r="E851" s="161">
        <v>4</v>
      </c>
      <c r="F851" s="163" t="s">
        <v>2212</v>
      </c>
    </row>
    <row r="852" spans="1:6" ht="15" customHeight="1">
      <c r="A852" s="155">
        <v>20</v>
      </c>
      <c r="B852" s="161" t="s">
        <v>2189</v>
      </c>
      <c r="C852" s="162" t="s">
        <v>2213</v>
      </c>
      <c r="D852" s="162" t="str">
        <f t="shared" si="14"/>
        <v>長野県上田市(旧上田市、旧丸子町に限る。)</v>
      </c>
      <c r="E852" s="161">
        <v>4</v>
      </c>
      <c r="F852" s="163" t="s">
        <v>2214</v>
      </c>
    </row>
    <row r="853" spans="1:6" ht="15" customHeight="1">
      <c r="A853" s="155">
        <v>20</v>
      </c>
      <c r="B853" s="161" t="s">
        <v>2189</v>
      </c>
      <c r="C853" s="162" t="s">
        <v>2215</v>
      </c>
      <c r="D853" s="162" t="str">
        <f t="shared" si="14"/>
        <v>長野県上田市(旧真田町、旧武石村に限る。)</v>
      </c>
      <c r="E853" s="161">
        <v>3</v>
      </c>
      <c r="F853" s="163" t="s">
        <v>2216</v>
      </c>
    </row>
    <row r="854" spans="1:6" ht="15" customHeight="1">
      <c r="A854" s="155">
        <v>20</v>
      </c>
      <c r="B854" s="161" t="s">
        <v>2189</v>
      </c>
      <c r="C854" s="162" t="s">
        <v>2217</v>
      </c>
      <c r="D854" s="162" t="str">
        <f t="shared" si="14"/>
        <v>長野県売木村</v>
      </c>
      <c r="E854" s="161">
        <v>3</v>
      </c>
      <c r="F854" s="163" t="s">
        <v>2218</v>
      </c>
    </row>
    <row r="855" spans="1:6" ht="15" customHeight="1">
      <c r="A855" s="155">
        <v>20</v>
      </c>
      <c r="B855" s="161" t="s">
        <v>2189</v>
      </c>
      <c r="C855" s="162" t="s">
        <v>2219</v>
      </c>
      <c r="D855" s="162" t="str">
        <f t="shared" si="14"/>
        <v>長野県王滝村</v>
      </c>
      <c r="E855" s="161">
        <v>3</v>
      </c>
      <c r="F855" s="163" t="s">
        <v>2220</v>
      </c>
    </row>
    <row r="856" spans="1:6" ht="15" customHeight="1">
      <c r="A856" s="155">
        <v>20</v>
      </c>
      <c r="B856" s="161" t="s">
        <v>2189</v>
      </c>
      <c r="C856" s="162" t="s">
        <v>2221</v>
      </c>
      <c r="D856" s="162" t="str">
        <f t="shared" si="14"/>
        <v>長野県大桑村</v>
      </c>
      <c r="E856" s="161">
        <v>4</v>
      </c>
      <c r="F856" s="163" t="s">
        <v>2222</v>
      </c>
    </row>
    <row r="857" spans="1:6" ht="15" customHeight="1">
      <c r="A857" s="155">
        <v>20</v>
      </c>
      <c r="B857" s="161" t="s">
        <v>2189</v>
      </c>
      <c r="C857" s="162" t="s">
        <v>2223</v>
      </c>
      <c r="D857" s="162" t="str">
        <f t="shared" si="14"/>
        <v>長野県大鹿村</v>
      </c>
      <c r="E857" s="161">
        <v>4</v>
      </c>
      <c r="F857" s="163" t="s">
        <v>2224</v>
      </c>
    </row>
    <row r="858" spans="1:6" ht="15" customHeight="1">
      <c r="A858" s="155">
        <v>20</v>
      </c>
      <c r="B858" s="161" t="s">
        <v>2189</v>
      </c>
      <c r="C858" s="162" t="s">
        <v>2225</v>
      </c>
      <c r="D858" s="162" t="str">
        <f t="shared" si="14"/>
        <v>長野県大町市</v>
      </c>
      <c r="E858" s="161">
        <v>3</v>
      </c>
      <c r="F858" s="163" t="s">
        <v>2226</v>
      </c>
    </row>
    <row r="859" spans="1:6" ht="15" customHeight="1">
      <c r="A859" s="155">
        <v>20</v>
      </c>
      <c r="B859" s="161" t="s">
        <v>2189</v>
      </c>
      <c r="C859" s="162" t="s">
        <v>2227</v>
      </c>
      <c r="D859" s="162" t="str">
        <f t="shared" si="14"/>
        <v>長野県岡谷市</v>
      </c>
      <c r="E859" s="161">
        <v>3</v>
      </c>
      <c r="F859" s="163" t="s">
        <v>2228</v>
      </c>
    </row>
    <row r="860" spans="1:6" ht="15" customHeight="1">
      <c r="A860" s="155">
        <v>20</v>
      </c>
      <c r="B860" s="161" t="s">
        <v>2189</v>
      </c>
      <c r="C860" s="162" t="s">
        <v>2229</v>
      </c>
      <c r="D860" s="162" t="str">
        <f t="shared" si="14"/>
        <v>長野県小川村</v>
      </c>
      <c r="E860" s="161">
        <v>3</v>
      </c>
      <c r="F860" s="163" t="s">
        <v>2230</v>
      </c>
    </row>
    <row r="861" spans="1:6" ht="15" customHeight="1">
      <c r="A861" s="155">
        <v>20</v>
      </c>
      <c r="B861" s="161" t="s">
        <v>2189</v>
      </c>
      <c r="C861" s="162" t="s">
        <v>2231</v>
      </c>
      <c r="D861" s="162" t="str">
        <f t="shared" si="14"/>
        <v>長野県小谷村</v>
      </c>
      <c r="E861" s="161">
        <v>3</v>
      </c>
      <c r="F861" s="163" t="s">
        <v>2232</v>
      </c>
    </row>
    <row r="862" spans="1:6" ht="15" customHeight="1">
      <c r="A862" s="155">
        <v>20</v>
      </c>
      <c r="B862" s="161" t="s">
        <v>2189</v>
      </c>
      <c r="C862" s="162" t="s">
        <v>2233</v>
      </c>
      <c r="D862" s="162" t="str">
        <f t="shared" si="14"/>
        <v>長野県小布施町</v>
      </c>
      <c r="E862" s="161">
        <v>4</v>
      </c>
      <c r="F862" s="163" t="s">
        <v>2234</v>
      </c>
    </row>
    <row r="863" spans="1:6" ht="15" customHeight="1">
      <c r="A863" s="155">
        <v>20</v>
      </c>
      <c r="B863" s="161" t="s">
        <v>2189</v>
      </c>
      <c r="C863" s="162" t="s">
        <v>2235</v>
      </c>
      <c r="D863" s="162" t="str">
        <f t="shared" si="14"/>
        <v>長野県麻績村</v>
      </c>
      <c r="E863" s="161">
        <v>3</v>
      </c>
      <c r="F863" s="163" t="s">
        <v>2236</v>
      </c>
    </row>
    <row r="864" spans="1:6" ht="15" customHeight="1">
      <c r="A864" s="155">
        <v>20</v>
      </c>
      <c r="B864" s="161" t="s">
        <v>2189</v>
      </c>
      <c r="C864" s="162" t="s">
        <v>2237</v>
      </c>
      <c r="D864" s="162" t="str">
        <f t="shared" si="14"/>
        <v>長野県軽井沢町</v>
      </c>
      <c r="E864" s="161">
        <v>2</v>
      </c>
      <c r="F864" s="163" t="s">
        <v>2238</v>
      </c>
    </row>
    <row r="865" spans="1:6" ht="15" customHeight="1">
      <c r="A865" s="155">
        <v>20</v>
      </c>
      <c r="B865" s="161" t="s">
        <v>2189</v>
      </c>
      <c r="C865" s="162" t="s">
        <v>2239</v>
      </c>
      <c r="D865" s="162" t="str">
        <f t="shared" si="14"/>
        <v>長野県川上村</v>
      </c>
      <c r="E865" s="161">
        <v>2</v>
      </c>
      <c r="F865" s="163" t="s">
        <v>2240</v>
      </c>
    </row>
    <row r="866" spans="1:6" ht="15" customHeight="1">
      <c r="A866" s="155">
        <v>20</v>
      </c>
      <c r="B866" s="161" t="s">
        <v>2189</v>
      </c>
      <c r="C866" s="162" t="s">
        <v>2241</v>
      </c>
      <c r="D866" s="162" t="str">
        <f t="shared" si="14"/>
        <v>長野県木島平村</v>
      </c>
      <c r="E866" s="161">
        <v>4</v>
      </c>
      <c r="F866" s="163" t="s">
        <v>2242</v>
      </c>
    </row>
    <row r="867" spans="1:6" ht="15" customHeight="1">
      <c r="A867" s="155">
        <v>20</v>
      </c>
      <c r="B867" s="161" t="s">
        <v>2189</v>
      </c>
      <c r="C867" s="162" t="s">
        <v>2243</v>
      </c>
      <c r="D867" s="162" t="str">
        <f t="shared" si="14"/>
        <v>長野県木曽町（旧開田村に限る。）</v>
      </c>
      <c r="E867" s="161">
        <v>2</v>
      </c>
      <c r="F867" s="163" t="s">
        <v>2244</v>
      </c>
    </row>
    <row r="868" spans="1:6" ht="15" customHeight="1">
      <c r="A868" s="155">
        <v>20</v>
      </c>
      <c r="B868" s="161" t="s">
        <v>2189</v>
      </c>
      <c r="C868" s="162" t="s">
        <v>2245</v>
      </c>
      <c r="D868" s="162" t="str">
        <f t="shared" si="14"/>
        <v>長野県木曽町（旧木曽福島町、旧日義村、旧三岳村に限る。）</v>
      </c>
      <c r="E868" s="161">
        <v>3</v>
      </c>
      <c r="F868" s="163" t="s">
        <v>2246</v>
      </c>
    </row>
    <row r="869" spans="1:6" ht="15" customHeight="1">
      <c r="A869" s="155">
        <v>20</v>
      </c>
      <c r="B869" s="161" t="s">
        <v>2189</v>
      </c>
      <c r="C869" s="162" t="s">
        <v>2247</v>
      </c>
      <c r="D869" s="162" t="str">
        <f t="shared" si="14"/>
        <v>長野県木祖村</v>
      </c>
      <c r="E869" s="161">
        <v>2</v>
      </c>
      <c r="F869" s="163" t="s">
        <v>2248</v>
      </c>
    </row>
    <row r="870" spans="1:6" ht="15" customHeight="1">
      <c r="A870" s="155">
        <v>20</v>
      </c>
      <c r="B870" s="161" t="s">
        <v>2189</v>
      </c>
      <c r="C870" s="162" t="s">
        <v>2249</v>
      </c>
      <c r="D870" s="162" t="str">
        <f t="shared" si="14"/>
        <v>長野県北相木村</v>
      </c>
      <c r="E870" s="161">
        <v>2</v>
      </c>
      <c r="F870" s="163" t="s">
        <v>2250</v>
      </c>
    </row>
    <row r="871" spans="1:6" ht="15" customHeight="1">
      <c r="A871" s="155">
        <v>20</v>
      </c>
      <c r="B871" s="161" t="s">
        <v>2189</v>
      </c>
      <c r="C871" s="162" t="s">
        <v>2251</v>
      </c>
      <c r="D871" s="162" t="str">
        <f t="shared" si="14"/>
        <v>長野県小海町</v>
      </c>
      <c r="E871" s="161">
        <v>3</v>
      </c>
      <c r="F871" s="163" t="s">
        <v>2252</v>
      </c>
    </row>
    <row r="872" spans="1:6" ht="15" customHeight="1">
      <c r="A872" s="155">
        <v>20</v>
      </c>
      <c r="B872" s="161" t="s">
        <v>2189</v>
      </c>
      <c r="C872" s="162" t="s">
        <v>2253</v>
      </c>
      <c r="D872" s="162" t="str">
        <f t="shared" si="14"/>
        <v>長野県駒ヶ根市</v>
      </c>
      <c r="E872" s="161">
        <v>4</v>
      </c>
      <c r="F872" s="163" t="s">
        <v>2254</v>
      </c>
    </row>
    <row r="873" spans="1:6" ht="15" customHeight="1">
      <c r="A873" s="155">
        <v>20</v>
      </c>
      <c r="B873" s="161" t="s">
        <v>2189</v>
      </c>
      <c r="C873" s="162" t="s">
        <v>2255</v>
      </c>
      <c r="D873" s="162" t="str">
        <f t="shared" si="14"/>
        <v>長野県小諸市</v>
      </c>
      <c r="E873" s="161">
        <v>3</v>
      </c>
      <c r="F873" s="163" t="s">
        <v>2256</v>
      </c>
    </row>
    <row r="874" spans="1:6" ht="15" customHeight="1">
      <c r="A874" s="155">
        <v>20</v>
      </c>
      <c r="B874" s="161" t="s">
        <v>2189</v>
      </c>
      <c r="C874" s="162" t="s">
        <v>2257</v>
      </c>
      <c r="D874" s="162" t="str">
        <f t="shared" si="14"/>
        <v>長野県栄村</v>
      </c>
      <c r="E874" s="161">
        <v>4</v>
      </c>
      <c r="F874" s="163" t="s">
        <v>2258</v>
      </c>
    </row>
    <row r="875" spans="1:6" ht="15" customHeight="1">
      <c r="A875" s="155">
        <v>20</v>
      </c>
      <c r="B875" s="161" t="s">
        <v>2189</v>
      </c>
      <c r="C875" s="162" t="s">
        <v>2259</v>
      </c>
      <c r="D875" s="162" t="str">
        <f t="shared" si="14"/>
        <v>長野県坂城町</v>
      </c>
      <c r="E875" s="161">
        <v>4</v>
      </c>
      <c r="F875" s="163" t="s">
        <v>2260</v>
      </c>
    </row>
    <row r="876" spans="1:6" ht="15" customHeight="1">
      <c r="A876" s="155">
        <v>20</v>
      </c>
      <c r="B876" s="161" t="s">
        <v>2189</v>
      </c>
      <c r="C876" s="162" t="s">
        <v>2261</v>
      </c>
      <c r="D876" s="162" t="str">
        <f t="shared" si="14"/>
        <v>長野県佐久市</v>
      </c>
      <c r="E876" s="161">
        <v>3</v>
      </c>
      <c r="F876" s="163" t="s">
        <v>2262</v>
      </c>
    </row>
    <row r="877" spans="1:6" ht="15" customHeight="1">
      <c r="A877" s="155">
        <v>20</v>
      </c>
      <c r="B877" s="161" t="s">
        <v>2189</v>
      </c>
      <c r="C877" s="162" t="s">
        <v>2263</v>
      </c>
      <c r="D877" s="162" t="str">
        <f t="shared" si="14"/>
        <v>長野県佐久穂町</v>
      </c>
      <c r="E877" s="161">
        <v>3</v>
      </c>
      <c r="F877" s="163" t="s">
        <v>2264</v>
      </c>
    </row>
    <row r="878" spans="1:6" ht="15" customHeight="1">
      <c r="A878" s="155">
        <v>20</v>
      </c>
      <c r="B878" s="161" t="s">
        <v>2189</v>
      </c>
      <c r="C878" s="162" t="s">
        <v>2265</v>
      </c>
      <c r="D878" s="162" t="str">
        <f t="shared" si="14"/>
        <v>長野県塩尻市（旧塩尻市に限る。）</v>
      </c>
      <c r="E878" s="161">
        <v>4</v>
      </c>
      <c r="F878" s="163" t="s">
        <v>2266</v>
      </c>
    </row>
    <row r="879" spans="1:6" ht="15" customHeight="1">
      <c r="A879" s="155">
        <v>20</v>
      </c>
      <c r="B879" s="161" t="s">
        <v>2189</v>
      </c>
      <c r="C879" s="162" t="s">
        <v>2267</v>
      </c>
      <c r="D879" s="162" t="str">
        <f t="shared" si="14"/>
        <v>長野県塩尻市（旧楢川村に限る。）</v>
      </c>
      <c r="E879" s="161">
        <v>2</v>
      </c>
      <c r="F879" s="163" t="s">
        <v>2268</v>
      </c>
    </row>
    <row r="880" spans="1:6" ht="15" customHeight="1">
      <c r="A880" s="155">
        <v>20</v>
      </c>
      <c r="B880" s="161" t="s">
        <v>2189</v>
      </c>
      <c r="C880" s="162" t="s">
        <v>2269</v>
      </c>
      <c r="D880" s="162" t="str">
        <f t="shared" si="14"/>
        <v>長野県信濃町</v>
      </c>
      <c r="E880" s="161">
        <v>3</v>
      </c>
      <c r="F880" s="163" t="s">
        <v>2270</v>
      </c>
    </row>
    <row r="881" spans="1:6" ht="15" customHeight="1">
      <c r="A881" s="155">
        <v>20</v>
      </c>
      <c r="B881" s="161" t="s">
        <v>2189</v>
      </c>
      <c r="C881" s="162" t="s">
        <v>2271</v>
      </c>
      <c r="D881" s="162" t="str">
        <f t="shared" si="14"/>
        <v>長野県下條村</v>
      </c>
      <c r="E881" s="161">
        <v>4</v>
      </c>
      <c r="F881" s="163" t="s">
        <v>2272</v>
      </c>
    </row>
    <row r="882" spans="1:6" ht="15" customHeight="1">
      <c r="A882" s="155">
        <v>20</v>
      </c>
      <c r="B882" s="161" t="s">
        <v>2189</v>
      </c>
      <c r="C882" s="162" t="s">
        <v>2273</v>
      </c>
      <c r="D882" s="162" t="str">
        <f t="shared" si="14"/>
        <v>長野県下諏訪町</v>
      </c>
      <c r="E882" s="161">
        <v>4</v>
      </c>
      <c r="F882" s="163" t="s">
        <v>2274</v>
      </c>
    </row>
    <row r="883" spans="1:6" ht="15" customHeight="1">
      <c r="A883" s="155">
        <v>20</v>
      </c>
      <c r="B883" s="161" t="s">
        <v>2189</v>
      </c>
      <c r="C883" s="162" t="s">
        <v>2275</v>
      </c>
      <c r="D883" s="162" t="str">
        <f t="shared" si="14"/>
        <v>長野県須坂市</v>
      </c>
      <c r="E883" s="161">
        <v>4</v>
      </c>
      <c r="F883" s="163" t="s">
        <v>2276</v>
      </c>
    </row>
    <row r="884" spans="1:6" ht="15" customHeight="1">
      <c r="A884" s="155">
        <v>20</v>
      </c>
      <c r="B884" s="161" t="s">
        <v>2189</v>
      </c>
      <c r="C884" s="162" t="s">
        <v>2277</v>
      </c>
      <c r="D884" s="162" t="str">
        <f t="shared" si="14"/>
        <v>長野県諏訪市</v>
      </c>
      <c r="E884" s="161">
        <v>4</v>
      </c>
      <c r="F884" s="163" t="s">
        <v>2278</v>
      </c>
    </row>
    <row r="885" spans="1:6" ht="15" customHeight="1">
      <c r="A885" s="155">
        <v>20</v>
      </c>
      <c r="B885" s="161" t="s">
        <v>2189</v>
      </c>
      <c r="C885" s="162" t="s">
        <v>2279</v>
      </c>
      <c r="D885" s="162" t="str">
        <f t="shared" si="14"/>
        <v>長野県喬木村</v>
      </c>
      <c r="E885" s="161">
        <v>5</v>
      </c>
      <c r="F885" s="163" t="s">
        <v>2280</v>
      </c>
    </row>
    <row r="886" spans="1:6" ht="15" customHeight="1">
      <c r="A886" s="155">
        <v>20</v>
      </c>
      <c r="B886" s="161" t="s">
        <v>2189</v>
      </c>
      <c r="C886" s="162" t="s">
        <v>2281</v>
      </c>
      <c r="D886" s="162" t="str">
        <f t="shared" si="14"/>
        <v>長野県高森町</v>
      </c>
      <c r="E886" s="161">
        <v>4</v>
      </c>
      <c r="F886" s="163" t="s">
        <v>2282</v>
      </c>
    </row>
    <row r="887" spans="1:6" ht="15" customHeight="1">
      <c r="A887" s="155">
        <v>20</v>
      </c>
      <c r="B887" s="161" t="s">
        <v>2189</v>
      </c>
      <c r="C887" s="162" t="s">
        <v>2283</v>
      </c>
      <c r="D887" s="162" t="str">
        <f t="shared" si="14"/>
        <v>長野県高山村</v>
      </c>
      <c r="E887" s="161">
        <v>3</v>
      </c>
      <c r="F887" s="163" t="s">
        <v>1542</v>
      </c>
    </row>
    <row r="888" spans="1:6" ht="15" customHeight="1">
      <c r="A888" s="155">
        <v>20</v>
      </c>
      <c r="B888" s="161" t="s">
        <v>2189</v>
      </c>
      <c r="C888" s="162" t="s">
        <v>2284</v>
      </c>
      <c r="D888" s="162" t="str">
        <f t="shared" si="14"/>
        <v>長野県辰野町</v>
      </c>
      <c r="E888" s="161">
        <v>3</v>
      </c>
      <c r="F888" s="163" t="s">
        <v>2285</v>
      </c>
    </row>
    <row r="889" spans="1:6" ht="15" customHeight="1">
      <c r="A889" s="155">
        <v>20</v>
      </c>
      <c r="B889" s="161" t="s">
        <v>2189</v>
      </c>
      <c r="C889" s="162" t="s">
        <v>2286</v>
      </c>
      <c r="D889" s="162" t="str">
        <f t="shared" si="14"/>
        <v>長野県立科町</v>
      </c>
      <c r="E889" s="161">
        <v>3</v>
      </c>
      <c r="F889" s="163" t="s">
        <v>2287</v>
      </c>
    </row>
    <row r="890" spans="1:6" ht="15" customHeight="1">
      <c r="A890" s="155">
        <v>20</v>
      </c>
      <c r="B890" s="161" t="s">
        <v>2189</v>
      </c>
      <c r="C890" s="162" t="s">
        <v>2288</v>
      </c>
      <c r="D890" s="162" t="str">
        <f t="shared" si="14"/>
        <v>長野県千曲市</v>
      </c>
      <c r="E890" s="161">
        <v>4</v>
      </c>
      <c r="F890" s="163" t="s">
        <v>2289</v>
      </c>
    </row>
    <row r="891" spans="1:6" ht="15" customHeight="1">
      <c r="A891" s="155">
        <v>20</v>
      </c>
      <c r="B891" s="161" t="s">
        <v>2189</v>
      </c>
      <c r="C891" s="162" t="s">
        <v>2290</v>
      </c>
      <c r="D891" s="162" t="str">
        <f t="shared" si="14"/>
        <v>長野県茅野市</v>
      </c>
      <c r="E891" s="161">
        <v>3</v>
      </c>
      <c r="F891" s="163" t="s">
        <v>2291</v>
      </c>
    </row>
    <row r="892" spans="1:6" ht="15" customHeight="1">
      <c r="A892" s="155">
        <v>20</v>
      </c>
      <c r="B892" s="161" t="s">
        <v>2189</v>
      </c>
      <c r="C892" s="162" t="s">
        <v>2292</v>
      </c>
      <c r="D892" s="162" t="str">
        <f t="shared" si="14"/>
        <v>長野県筑北村</v>
      </c>
      <c r="E892" s="161">
        <v>3</v>
      </c>
      <c r="F892" s="163" t="s">
        <v>2293</v>
      </c>
    </row>
    <row r="893" spans="1:6" ht="15" customHeight="1">
      <c r="A893" s="155">
        <v>20</v>
      </c>
      <c r="B893" s="161" t="s">
        <v>2189</v>
      </c>
      <c r="C893" s="162" t="s">
        <v>2294</v>
      </c>
      <c r="D893" s="162" t="str">
        <f t="shared" si="14"/>
        <v>長野県天龍村</v>
      </c>
      <c r="E893" s="161">
        <v>4</v>
      </c>
      <c r="F893" s="163" t="s">
        <v>2295</v>
      </c>
    </row>
    <row r="894" spans="1:6" ht="15" customHeight="1">
      <c r="A894" s="155">
        <v>20</v>
      </c>
      <c r="B894" s="161" t="s">
        <v>2189</v>
      </c>
      <c r="C894" s="162" t="s">
        <v>2296</v>
      </c>
      <c r="D894" s="162" t="str">
        <f t="shared" si="14"/>
        <v>長野県東御市</v>
      </c>
      <c r="E894" s="161">
        <v>4</v>
      </c>
      <c r="F894" s="163" t="s">
        <v>2297</v>
      </c>
    </row>
    <row r="895" spans="1:6" ht="15" customHeight="1">
      <c r="A895" s="155">
        <v>20</v>
      </c>
      <c r="B895" s="161" t="s">
        <v>2189</v>
      </c>
      <c r="C895" s="162" t="s">
        <v>2298</v>
      </c>
      <c r="D895" s="162" t="str">
        <f t="shared" si="14"/>
        <v>長野県豊丘村</v>
      </c>
      <c r="E895" s="161">
        <v>4</v>
      </c>
      <c r="F895" s="163" t="s">
        <v>2299</v>
      </c>
    </row>
    <row r="896" spans="1:6" ht="15" customHeight="1">
      <c r="A896" s="155">
        <v>20</v>
      </c>
      <c r="B896" s="161" t="s">
        <v>2189</v>
      </c>
      <c r="C896" s="162" t="s">
        <v>2300</v>
      </c>
      <c r="D896" s="162" t="str">
        <f t="shared" si="14"/>
        <v>長野県中川村</v>
      </c>
      <c r="E896" s="161">
        <v>4</v>
      </c>
      <c r="F896" s="163" t="s">
        <v>2301</v>
      </c>
    </row>
    <row r="897" spans="1:6" ht="15" customHeight="1">
      <c r="A897" s="155">
        <v>20</v>
      </c>
      <c r="B897" s="161" t="s">
        <v>2189</v>
      </c>
      <c r="C897" s="162" t="s">
        <v>2302</v>
      </c>
      <c r="D897" s="162" t="str">
        <f t="shared" si="14"/>
        <v>長野県中野市</v>
      </c>
      <c r="E897" s="161">
        <v>4</v>
      </c>
      <c r="F897" s="163" t="s">
        <v>2303</v>
      </c>
    </row>
    <row r="898" spans="1:6" ht="15" customHeight="1">
      <c r="A898" s="155">
        <v>20</v>
      </c>
      <c r="B898" s="161" t="s">
        <v>2189</v>
      </c>
      <c r="C898" s="162" t="s">
        <v>2304</v>
      </c>
      <c r="D898" s="162" t="str">
        <f t="shared" si="14"/>
        <v>長野県長野市</v>
      </c>
      <c r="E898" s="161">
        <v>4</v>
      </c>
      <c r="F898" s="163" t="s">
        <v>2305</v>
      </c>
    </row>
    <row r="899" spans="1:6" ht="15" customHeight="1">
      <c r="A899" s="155">
        <v>20</v>
      </c>
      <c r="B899" s="161" t="s">
        <v>2189</v>
      </c>
      <c r="C899" s="162" t="s">
        <v>2306</v>
      </c>
      <c r="D899" s="162" t="str">
        <f t="shared" si="14"/>
        <v>長野県長和町</v>
      </c>
      <c r="E899" s="161">
        <v>3</v>
      </c>
      <c r="F899" s="163" t="s">
        <v>2307</v>
      </c>
    </row>
    <row r="900" spans="1:6" ht="15" customHeight="1">
      <c r="A900" s="155">
        <v>20</v>
      </c>
      <c r="B900" s="161" t="s">
        <v>2189</v>
      </c>
      <c r="C900" s="162" t="s">
        <v>2308</v>
      </c>
      <c r="D900" s="162" t="str">
        <f t="shared" ref="D900:D963" si="15">B900&amp;C900</f>
        <v>長野県南木曽町</v>
      </c>
      <c r="E900" s="161">
        <v>4</v>
      </c>
      <c r="F900" s="163" t="s">
        <v>2309</v>
      </c>
    </row>
    <row r="901" spans="1:6" ht="15" customHeight="1">
      <c r="A901" s="155">
        <v>20</v>
      </c>
      <c r="B901" s="161" t="s">
        <v>2189</v>
      </c>
      <c r="C901" s="162" t="s">
        <v>2310</v>
      </c>
      <c r="D901" s="162" t="str">
        <f t="shared" si="15"/>
        <v>長野県根羽村</v>
      </c>
      <c r="E901" s="161">
        <v>4</v>
      </c>
      <c r="F901" s="163" t="s">
        <v>2311</v>
      </c>
    </row>
    <row r="902" spans="1:6" ht="15" customHeight="1">
      <c r="A902" s="155">
        <v>20</v>
      </c>
      <c r="B902" s="161" t="s">
        <v>2189</v>
      </c>
      <c r="C902" s="162" t="s">
        <v>2312</v>
      </c>
      <c r="D902" s="162" t="str">
        <f t="shared" si="15"/>
        <v>長野県野沢温泉村</v>
      </c>
      <c r="E902" s="161">
        <v>3</v>
      </c>
      <c r="F902" s="163" t="s">
        <v>2313</v>
      </c>
    </row>
    <row r="903" spans="1:6" ht="15" customHeight="1">
      <c r="A903" s="155">
        <v>20</v>
      </c>
      <c r="B903" s="161" t="s">
        <v>2189</v>
      </c>
      <c r="C903" s="162" t="s">
        <v>2314</v>
      </c>
      <c r="D903" s="162" t="str">
        <f t="shared" si="15"/>
        <v>長野県白馬村</v>
      </c>
      <c r="E903" s="161">
        <v>3</v>
      </c>
      <c r="F903" s="163" t="s">
        <v>2315</v>
      </c>
    </row>
    <row r="904" spans="1:6" ht="15" customHeight="1">
      <c r="A904" s="155">
        <v>20</v>
      </c>
      <c r="B904" s="161" t="s">
        <v>2189</v>
      </c>
      <c r="C904" s="162" t="s">
        <v>2316</v>
      </c>
      <c r="D904" s="162" t="str">
        <f t="shared" si="15"/>
        <v>長野県飯島町</v>
      </c>
      <c r="E904" s="161">
        <v>4</v>
      </c>
      <c r="F904" s="163" t="s">
        <v>2317</v>
      </c>
    </row>
    <row r="905" spans="1:6" ht="15" customHeight="1">
      <c r="A905" s="155">
        <v>20</v>
      </c>
      <c r="B905" s="161" t="s">
        <v>2189</v>
      </c>
      <c r="C905" s="162" t="s">
        <v>2318</v>
      </c>
      <c r="D905" s="162" t="str">
        <f t="shared" si="15"/>
        <v>長野県原村</v>
      </c>
      <c r="E905" s="161">
        <v>3</v>
      </c>
      <c r="F905" s="163" t="s">
        <v>2319</v>
      </c>
    </row>
    <row r="906" spans="1:6" ht="15" customHeight="1">
      <c r="A906" s="155">
        <v>20</v>
      </c>
      <c r="B906" s="161" t="s">
        <v>2189</v>
      </c>
      <c r="C906" s="162" t="s">
        <v>2320</v>
      </c>
      <c r="D906" s="162" t="str">
        <f t="shared" si="15"/>
        <v>長野県平谷村</v>
      </c>
      <c r="E906" s="161">
        <v>3</v>
      </c>
      <c r="F906" s="163" t="s">
        <v>2321</v>
      </c>
    </row>
    <row r="907" spans="1:6" ht="15" customHeight="1">
      <c r="A907" s="155">
        <v>20</v>
      </c>
      <c r="B907" s="161" t="s">
        <v>2189</v>
      </c>
      <c r="C907" s="162" t="s">
        <v>2322</v>
      </c>
      <c r="D907" s="162" t="str">
        <f t="shared" si="15"/>
        <v>長野県富士見町</v>
      </c>
      <c r="E907" s="161">
        <v>3</v>
      </c>
      <c r="F907" s="163" t="s">
        <v>2323</v>
      </c>
    </row>
    <row r="908" spans="1:6" ht="15" customHeight="1">
      <c r="A908" s="155">
        <v>20</v>
      </c>
      <c r="B908" s="161" t="s">
        <v>2189</v>
      </c>
      <c r="C908" s="162" t="s">
        <v>2324</v>
      </c>
      <c r="D908" s="162" t="str">
        <f t="shared" si="15"/>
        <v>長野県松川町</v>
      </c>
      <c r="E908" s="161">
        <v>4</v>
      </c>
      <c r="F908" s="163" t="s">
        <v>2325</v>
      </c>
    </row>
    <row r="909" spans="1:6" ht="15" customHeight="1">
      <c r="A909" s="155">
        <v>20</v>
      </c>
      <c r="B909" s="161" t="s">
        <v>2189</v>
      </c>
      <c r="C909" s="162" t="s">
        <v>2326</v>
      </c>
      <c r="D909" s="162" t="str">
        <f t="shared" si="15"/>
        <v>長野県松川村</v>
      </c>
      <c r="E909" s="161">
        <v>4</v>
      </c>
      <c r="F909" s="163" t="s">
        <v>2327</v>
      </c>
    </row>
    <row r="910" spans="1:6" ht="15" customHeight="1">
      <c r="A910" s="155">
        <v>20</v>
      </c>
      <c r="B910" s="161" t="s">
        <v>2189</v>
      </c>
      <c r="C910" s="162" t="s">
        <v>2328</v>
      </c>
      <c r="D910" s="162" t="str">
        <f t="shared" si="15"/>
        <v>長野県松本市</v>
      </c>
      <c r="E910" s="161">
        <v>4</v>
      </c>
      <c r="F910" s="163" t="s">
        <v>2329</v>
      </c>
    </row>
    <row r="911" spans="1:6" ht="15" customHeight="1">
      <c r="A911" s="155">
        <v>20</v>
      </c>
      <c r="B911" s="161" t="s">
        <v>2189</v>
      </c>
      <c r="C911" s="162" t="s">
        <v>2330</v>
      </c>
      <c r="D911" s="162" t="str">
        <f t="shared" si="15"/>
        <v>長野県南相木村</v>
      </c>
      <c r="E911" s="161">
        <v>2</v>
      </c>
      <c r="F911" s="163" t="s">
        <v>2331</v>
      </c>
    </row>
    <row r="912" spans="1:6" ht="15" customHeight="1">
      <c r="A912" s="155">
        <v>20</v>
      </c>
      <c r="B912" s="161" t="s">
        <v>2189</v>
      </c>
      <c r="C912" s="162" t="s">
        <v>2332</v>
      </c>
      <c r="D912" s="162" t="str">
        <f t="shared" si="15"/>
        <v>長野県南牧村</v>
      </c>
      <c r="E912" s="161">
        <v>2</v>
      </c>
      <c r="F912" s="163" t="s">
        <v>1570</v>
      </c>
    </row>
    <row r="913" spans="1:6" ht="15" customHeight="1">
      <c r="A913" s="155">
        <v>20</v>
      </c>
      <c r="B913" s="161" t="s">
        <v>2189</v>
      </c>
      <c r="C913" s="162" t="s">
        <v>2333</v>
      </c>
      <c r="D913" s="162" t="str">
        <f t="shared" si="15"/>
        <v>長野県南箕輪村</v>
      </c>
      <c r="E913" s="161">
        <v>4</v>
      </c>
      <c r="F913" s="163" t="s">
        <v>2334</v>
      </c>
    </row>
    <row r="914" spans="1:6" ht="15" customHeight="1">
      <c r="A914" s="155">
        <v>20</v>
      </c>
      <c r="B914" s="161" t="s">
        <v>2189</v>
      </c>
      <c r="C914" s="162" t="s">
        <v>2335</v>
      </c>
      <c r="D914" s="162" t="str">
        <f t="shared" si="15"/>
        <v>長野県箕輪町</v>
      </c>
      <c r="E914" s="161">
        <v>4</v>
      </c>
      <c r="F914" s="163" t="s">
        <v>2336</v>
      </c>
    </row>
    <row r="915" spans="1:6" ht="15" customHeight="1">
      <c r="A915" s="155">
        <v>20</v>
      </c>
      <c r="B915" s="161" t="s">
        <v>2189</v>
      </c>
      <c r="C915" s="162" t="s">
        <v>2337</v>
      </c>
      <c r="D915" s="162" t="str">
        <f t="shared" si="15"/>
        <v>長野県宮田村</v>
      </c>
      <c r="E915" s="161">
        <v>4</v>
      </c>
      <c r="F915" s="163" t="s">
        <v>2338</v>
      </c>
    </row>
    <row r="916" spans="1:6" ht="15" customHeight="1">
      <c r="A916" s="155">
        <v>20</v>
      </c>
      <c r="B916" s="161" t="s">
        <v>2189</v>
      </c>
      <c r="C916" s="162" t="s">
        <v>2339</v>
      </c>
      <c r="D916" s="162" t="str">
        <f t="shared" si="15"/>
        <v>長野県御代田町</v>
      </c>
      <c r="E916" s="161">
        <v>3</v>
      </c>
      <c r="F916" s="163" t="s">
        <v>2340</v>
      </c>
    </row>
    <row r="917" spans="1:6" ht="15" customHeight="1">
      <c r="A917" s="155">
        <v>20</v>
      </c>
      <c r="B917" s="161" t="s">
        <v>2189</v>
      </c>
      <c r="C917" s="162" t="s">
        <v>2341</v>
      </c>
      <c r="D917" s="162" t="str">
        <f t="shared" si="15"/>
        <v>長野県泰阜村</v>
      </c>
      <c r="E917" s="161">
        <v>4</v>
      </c>
      <c r="F917" s="163" t="s">
        <v>2342</v>
      </c>
    </row>
    <row r="918" spans="1:6" ht="15" customHeight="1">
      <c r="A918" s="155">
        <v>20</v>
      </c>
      <c r="B918" s="161" t="s">
        <v>2189</v>
      </c>
      <c r="C918" s="162" t="s">
        <v>2343</v>
      </c>
      <c r="D918" s="162" t="str">
        <f t="shared" si="15"/>
        <v>長野県山形村</v>
      </c>
      <c r="E918" s="161">
        <v>4</v>
      </c>
      <c r="F918" s="163" t="s">
        <v>2344</v>
      </c>
    </row>
    <row r="919" spans="1:6" ht="15" customHeight="1">
      <c r="A919" s="155">
        <v>20</v>
      </c>
      <c r="B919" s="161" t="s">
        <v>2189</v>
      </c>
      <c r="C919" s="162" t="s">
        <v>2345</v>
      </c>
      <c r="D919" s="162" t="str">
        <f t="shared" si="15"/>
        <v>長野県山ノ内町</v>
      </c>
      <c r="E919" s="161">
        <v>3</v>
      </c>
      <c r="F919" s="163" t="s">
        <v>2346</v>
      </c>
    </row>
    <row r="920" spans="1:6" ht="15" customHeight="1">
      <c r="A920" s="155">
        <v>21</v>
      </c>
      <c r="B920" s="161" t="s">
        <v>2347</v>
      </c>
      <c r="C920" s="162" t="s">
        <v>2348</v>
      </c>
      <c r="D920" s="162" t="str">
        <f t="shared" si="15"/>
        <v>岐阜県安八町</v>
      </c>
      <c r="E920" s="161">
        <v>6</v>
      </c>
      <c r="F920" s="157" t="s">
        <v>2349</v>
      </c>
    </row>
    <row r="921" spans="1:6" ht="15" customHeight="1">
      <c r="A921" s="155">
        <v>21</v>
      </c>
      <c r="B921" s="161" t="s">
        <v>2347</v>
      </c>
      <c r="C921" s="162" t="s">
        <v>557</v>
      </c>
      <c r="D921" s="162" t="str">
        <f t="shared" si="15"/>
        <v>岐阜県池田町</v>
      </c>
      <c r="E921" s="161">
        <v>6</v>
      </c>
      <c r="F921" s="157" t="s">
        <v>558</v>
      </c>
    </row>
    <row r="922" spans="1:6" ht="15" customHeight="1">
      <c r="A922" s="155">
        <v>21</v>
      </c>
      <c r="B922" s="161" t="s">
        <v>2347</v>
      </c>
      <c r="C922" s="162" t="s">
        <v>2350</v>
      </c>
      <c r="D922" s="162" t="str">
        <f t="shared" si="15"/>
        <v>岐阜県揖斐川町</v>
      </c>
      <c r="E922" s="161">
        <v>6</v>
      </c>
      <c r="F922" s="157" t="s">
        <v>2351</v>
      </c>
    </row>
    <row r="923" spans="1:6" ht="15" customHeight="1">
      <c r="A923" s="155">
        <v>21</v>
      </c>
      <c r="B923" s="161" t="s">
        <v>2347</v>
      </c>
      <c r="C923" s="162" t="s">
        <v>2352</v>
      </c>
      <c r="D923" s="162" t="str">
        <f t="shared" si="15"/>
        <v>岐阜県恵那市</v>
      </c>
      <c r="E923" s="161">
        <v>5</v>
      </c>
      <c r="F923" s="157" t="s">
        <v>2353</v>
      </c>
    </row>
    <row r="924" spans="1:6" ht="15" customHeight="1">
      <c r="A924" s="155">
        <v>21</v>
      </c>
      <c r="B924" s="161" t="s">
        <v>2347</v>
      </c>
      <c r="C924" s="162" t="s">
        <v>2354</v>
      </c>
      <c r="D924" s="162" t="str">
        <f t="shared" si="15"/>
        <v>岐阜県大垣市(旧大垣市、旧墨俣町に限る。)</v>
      </c>
      <c r="E924" s="161">
        <v>6</v>
      </c>
      <c r="F924" s="157" t="s">
        <v>2355</v>
      </c>
    </row>
    <row r="925" spans="1:6" ht="15" customHeight="1">
      <c r="A925" s="155">
        <v>21</v>
      </c>
      <c r="B925" s="161" t="s">
        <v>2347</v>
      </c>
      <c r="C925" s="162" t="s">
        <v>2356</v>
      </c>
      <c r="D925" s="162" t="str">
        <f t="shared" si="15"/>
        <v>岐阜県大垣市(旧上石津町に限る。)</v>
      </c>
      <c r="E925" s="161">
        <v>5</v>
      </c>
      <c r="F925" s="157" t="s">
        <v>2357</v>
      </c>
    </row>
    <row r="926" spans="1:6" ht="15" customHeight="1">
      <c r="A926" s="155">
        <v>21</v>
      </c>
      <c r="B926" s="161" t="s">
        <v>2347</v>
      </c>
      <c r="C926" s="162" t="s">
        <v>2358</v>
      </c>
      <c r="D926" s="162" t="str">
        <f t="shared" si="15"/>
        <v>岐阜県大野町</v>
      </c>
      <c r="E926" s="161">
        <v>6</v>
      </c>
      <c r="F926" s="157" t="s">
        <v>2359</v>
      </c>
    </row>
    <row r="927" spans="1:6" ht="15" customHeight="1">
      <c r="A927" s="155">
        <v>21</v>
      </c>
      <c r="B927" s="161" t="s">
        <v>2347</v>
      </c>
      <c r="C927" s="162" t="s">
        <v>2360</v>
      </c>
      <c r="D927" s="162" t="str">
        <f t="shared" si="15"/>
        <v>岐阜県海津市</v>
      </c>
      <c r="E927" s="161">
        <v>6</v>
      </c>
      <c r="F927" s="157" t="s">
        <v>2361</v>
      </c>
    </row>
    <row r="928" spans="1:6" ht="15" customHeight="1">
      <c r="A928" s="155">
        <v>21</v>
      </c>
      <c r="B928" s="161" t="s">
        <v>2347</v>
      </c>
      <c r="C928" s="162" t="s">
        <v>2362</v>
      </c>
      <c r="D928" s="162" t="str">
        <f t="shared" si="15"/>
        <v>岐阜県各務原市</v>
      </c>
      <c r="E928" s="161">
        <v>6</v>
      </c>
      <c r="F928" s="157" t="s">
        <v>2363</v>
      </c>
    </row>
    <row r="929" spans="1:6" ht="15" customHeight="1">
      <c r="A929" s="155">
        <v>21</v>
      </c>
      <c r="B929" s="161" t="s">
        <v>2347</v>
      </c>
      <c r="C929" s="162" t="s">
        <v>2364</v>
      </c>
      <c r="D929" s="162" t="str">
        <f t="shared" si="15"/>
        <v>岐阜県笠松町</v>
      </c>
      <c r="E929" s="161">
        <v>6</v>
      </c>
      <c r="F929" s="157" t="s">
        <v>2365</v>
      </c>
    </row>
    <row r="930" spans="1:6" ht="15" customHeight="1">
      <c r="A930" s="155">
        <v>21</v>
      </c>
      <c r="B930" s="161" t="s">
        <v>2347</v>
      </c>
      <c r="C930" s="162" t="s">
        <v>2366</v>
      </c>
      <c r="D930" s="162" t="str">
        <f t="shared" si="15"/>
        <v>岐阜県可児市</v>
      </c>
      <c r="E930" s="161">
        <v>6</v>
      </c>
      <c r="F930" s="157" t="s">
        <v>2367</v>
      </c>
    </row>
    <row r="931" spans="1:6" ht="15" customHeight="1">
      <c r="A931" s="155">
        <v>21</v>
      </c>
      <c r="B931" s="161" t="s">
        <v>2347</v>
      </c>
      <c r="C931" s="162" t="s">
        <v>2368</v>
      </c>
      <c r="D931" s="162" t="str">
        <f t="shared" si="15"/>
        <v>岐阜県川辺町</v>
      </c>
      <c r="E931" s="161">
        <v>5</v>
      </c>
      <c r="F931" s="157" t="s">
        <v>2369</v>
      </c>
    </row>
    <row r="932" spans="1:6" ht="15" customHeight="1">
      <c r="A932" s="155">
        <v>21</v>
      </c>
      <c r="B932" s="161" t="s">
        <v>2347</v>
      </c>
      <c r="C932" s="162" t="s">
        <v>2370</v>
      </c>
      <c r="D932" s="162" t="str">
        <f t="shared" si="15"/>
        <v>岐阜県岐南町</v>
      </c>
      <c r="E932" s="161">
        <v>6</v>
      </c>
      <c r="F932" s="157" t="s">
        <v>2371</v>
      </c>
    </row>
    <row r="933" spans="1:6" ht="15" customHeight="1">
      <c r="A933" s="155">
        <v>21</v>
      </c>
      <c r="B933" s="161" t="s">
        <v>2347</v>
      </c>
      <c r="C933" s="162" t="s">
        <v>2372</v>
      </c>
      <c r="D933" s="162" t="str">
        <f t="shared" si="15"/>
        <v>岐阜県岐阜市</v>
      </c>
      <c r="E933" s="161">
        <v>6</v>
      </c>
      <c r="F933" s="157" t="s">
        <v>2373</v>
      </c>
    </row>
    <row r="934" spans="1:6" ht="15" customHeight="1">
      <c r="A934" s="155">
        <v>21</v>
      </c>
      <c r="B934" s="161" t="s">
        <v>2347</v>
      </c>
      <c r="C934" s="162" t="s">
        <v>2374</v>
      </c>
      <c r="D934" s="162" t="str">
        <f t="shared" si="15"/>
        <v>岐阜県郡上市（旧高鷲村に限る。）</v>
      </c>
      <c r="E934" s="161">
        <v>3</v>
      </c>
      <c r="F934" s="157" t="s">
        <v>2375</v>
      </c>
    </row>
    <row r="935" spans="1:6" ht="15" customHeight="1">
      <c r="A935" s="155">
        <v>21</v>
      </c>
      <c r="B935" s="161" t="s">
        <v>2347</v>
      </c>
      <c r="C935" s="162" t="s">
        <v>2376</v>
      </c>
      <c r="D935" s="162" t="str">
        <f t="shared" si="15"/>
        <v>岐阜県郡上市(旧美並村に限る。)</v>
      </c>
      <c r="E935" s="161">
        <v>5</v>
      </c>
      <c r="F935" s="157" t="s">
        <v>2377</v>
      </c>
    </row>
    <row r="936" spans="1:6" ht="15" customHeight="1">
      <c r="A936" s="155">
        <v>21</v>
      </c>
      <c r="B936" s="161" t="s">
        <v>2347</v>
      </c>
      <c r="C936" s="162" t="s">
        <v>2378</v>
      </c>
      <c r="D936" s="162" t="str">
        <f t="shared" si="15"/>
        <v>岐阜県郡上市(旧八幡町、旧大和町、旧白鳥町、旧明宝村、旧和良村に限る。)</v>
      </c>
      <c r="E936" s="161">
        <v>4</v>
      </c>
      <c r="F936" s="157" t="s">
        <v>2379</v>
      </c>
    </row>
    <row r="937" spans="1:6" ht="15" customHeight="1">
      <c r="A937" s="155">
        <v>21</v>
      </c>
      <c r="B937" s="161" t="s">
        <v>2347</v>
      </c>
      <c r="C937" s="162" t="s">
        <v>2380</v>
      </c>
      <c r="D937" s="162" t="str">
        <f t="shared" si="15"/>
        <v>岐阜県下呂市（旧小坂町、旧馬瀬村に限る。）</v>
      </c>
      <c r="E937" s="161">
        <v>3</v>
      </c>
      <c r="F937" s="157" t="s">
        <v>2381</v>
      </c>
    </row>
    <row r="938" spans="1:6" ht="15" customHeight="1">
      <c r="A938" s="155">
        <v>21</v>
      </c>
      <c r="B938" s="161" t="s">
        <v>2347</v>
      </c>
      <c r="C938" s="162" t="s">
        <v>2382</v>
      </c>
      <c r="D938" s="162" t="str">
        <f t="shared" si="15"/>
        <v>岐阜県下呂市(旧萩原町、旧下呂町、旧金山町に限る。)</v>
      </c>
      <c r="E938" s="161">
        <v>4</v>
      </c>
      <c r="F938" s="157" t="s">
        <v>2383</v>
      </c>
    </row>
    <row r="939" spans="1:6" ht="15" customHeight="1">
      <c r="A939" s="155">
        <v>21</v>
      </c>
      <c r="B939" s="161" t="s">
        <v>2347</v>
      </c>
      <c r="C939" s="162" t="s">
        <v>2384</v>
      </c>
      <c r="D939" s="162" t="str">
        <f t="shared" si="15"/>
        <v>岐阜県神戸町</v>
      </c>
      <c r="E939" s="161">
        <v>6</v>
      </c>
      <c r="F939" s="157" t="s">
        <v>2385</v>
      </c>
    </row>
    <row r="940" spans="1:6" ht="15" customHeight="1">
      <c r="A940" s="155">
        <v>21</v>
      </c>
      <c r="B940" s="161" t="s">
        <v>2347</v>
      </c>
      <c r="C940" s="162" t="s">
        <v>2386</v>
      </c>
      <c r="D940" s="162" t="str">
        <f t="shared" si="15"/>
        <v>岐阜県坂祝町</v>
      </c>
      <c r="E940" s="161">
        <v>5</v>
      </c>
      <c r="F940" s="157" t="s">
        <v>2387</v>
      </c>
    </row>
    <row r="941" spans="1:6" ht="15" customHeight="1">
      <c r="A941" s="155">
        <v>21</v>
      </c>
      <c r="B941" s="161" t="s">
        <v>2347</v>
      </c>
      <c r="C941" s="162" t="s">
        <v>2388</v>
      </c>
      <c r="D941" s="162" t="str">
        <f t="shared" si="15"/>
        <v>岐阜県白川町</v>
      </c>
      <c r="E941" s="161">
        <v>5</v>
      </c>
      <c r="F941" s="157" t="s">
        <v>2389</v>
      </c>
    </row>
    <row r="942" spans="1:6" ht="15" customHeight="1">
      <c r="A942" s="155">
        <v>21</v>
      </c>
      <c r="B942" s="161" t="s">
        <v>2347</v>
      </c>
      <c r="C942" s="162" t="s">
        <v>2390</v>
      </c>
      <c r="D942" s="162" t="str">
        <f t="shared" si="15"/>
        <v>岐阜県白川村</v>
      </c>
      <c r="E942" s="161">
        <v>3</v>
      </c>
      <c r="F942" s="157" t="s">
        <v>2391</v>
      </c>
    </row>
    <row r="943" spans="1:6" ht="15" customHeight="1">
      <c r="A943" s="155">
        <v>21</v>
      </c>
      <c r="B943" s="161" t="s">
        <v>2347</v>
      </c>
      <c r="C943" s="162" t="s">
        <v>2392</v>
      </c>
      <c r="D943" s="162" t="str">
        <f t="shared" si="15"/>
        <v>岐阜県関ケ原町</v>
      </c>
      <c r="E943" s="161">
        <v>5</v>
      </c>
      <c r="F943" s="157" t="s">
        <v>2393</v>
      </c>
    </row>
    <row r="944" spans="1:6" ht="15" customHeight="1">
      <c r="A944" s="155">
        <v>21</v>
      </c>
      <c r="B944" s="161" t="s">
        <v>2347</v>
      </c>
      <c r="C944" s="162" t="s">
        <v>2394</v>
      </c>
      <c r="D944" s="162" t="str">
        <f t="shared" si="15"/>
        <v>岐阜県関市</v>
      </c>
      <c r="E944" s="161">
        <v>6</v>
      </c>
      <c r="F944" s="157" t="s">
        <v>2395</v>
      </c>
    </row>
    <row r="945" spans="1:6" ht="15" customHeight="1">
      <c r="A945" s="155">
        <v>21</v>
      </c>
      <c r="B945" s="161" t="s">
        <v>2347</v>
      </c>
      <c r="C945" s="162" t="s">
        <v>2396</v>
      </c>
      <c r="D945" s="162" t="str">
        <f t="shared" si="15"/>
        <v>岐阜県高山市</v>
      </c>
      <c r="E945" s="161">
        <v>4</v>
      </c>
      <c r="F945" s="157" t="s">
        <v>2397</v>
      </c>
    </row>
    <row r="946" spans="1:6" ht="15" customHeight="1">
      <c r="A946" s="155">
        <v>21</v>
      </c>
      <c r="B946" s="161" t="s">
        <v>2347</v>
      </c>
      <c r="C946" s="162" t="s">
        <v>2398</v>
      </c>
      <c r="D946" s="162" t="str">
        <f t="shared" si="15"/>
        <v>岐阜県多治見市</v>
      </c>
      <c r="E946" s="161">
        <v>6</v>
      </c>
      <c r="F946" s="157" t="s">
        <v>2399</v>
      </c>
    </row>
    <row r="947" spans="1:6" ht="15" customHeight="1">
      <c r="A947" s="155">
        <v>21</v>
      </c>
      <c r="B947" s="161" t="s">
        <v>2347</v>
      </c>
      <c r="C947" s="162" t="s">
        <v>2400</v>
      </c>
      <c r="D947" s="162" t="str">
        <f t="shared" si="15"/>
        <v>岐阜県垂井町</v>
      </c>
      <c r="E947" s="161">
        <v>6</v>
      </c>
      <c r="F947" s="157" t="s">
        <v>2401</v>
      </c>
    </row>
    <row r="948" spans="1:6" ht="15" customHeight="1">
      <c r="A948" s="155">
        <v>21</v>
      </c>
      <c r="B948" s="161" t="s">
        <v>2347</v>
      </c>
      <c r="C948" s="162" t="s">
        <v>2402</v>
      </c>
      <c r="D948" s="162" t="str">
        <f t="shared" si="15"/>
        <v>岐阜県土岐市</v>
      </c>
      <c r="E948" s="161">
        <v>5</v>
      </c>
      <c r="F948" s="157" t="s">
        <v>2403</v>
      </c>
    </row>
    <row r="949" spans="1:6" ht="15" customHeight="1">
      <c r="A949" s="155">
        <v>21</v>
      </c>
      <c r="B949" s="161" t="s">
        <v>2347</v>
      </c>
      <c r="C949" s="162" t="s">
        <v>2404</v>
      </c>
      <c r="D949" s="162" t="str">
        <f t="shared" si="15"/>
        <v>岐阜県富加町</v>
      </c>
      <c r="E949" s="161">
        <v>5</v>
      </c>
      <c r="F949" s="157" t="s">
        <v>2405</v>
      </c>
    </row>
    <row r="950" spans="1:6" ht="15" customHeight="1">
      <c r="A950" s="155">
        <v>21</v>
      </c>
      <c r="B950" s="161" t="s">
        <v>2347</v>
      </c>
      <c r="C950" s="162" t="s">
        <v>2406</v>
      </c>
      <c r="D950" s="162" t="str">
        <f t="shared" si="15"/>
        <v>岐阜県中津川市(旧中津川市に限る。)</v>
      </c>
      <c r="E950" s="161">
        <v>5</v>
      </c>
      <c r="F950" s="157" t="s">
        <v>2407</v>
      </c>
    </row>
    <row r="951" spans="1:6" ht="15" customHeight="1">
      <c r="A951" s="155">
        <v>21</v>
      </c>
      <c r="B951" s="161" t="s">
        <v>2347</v>
      </c>
      <c r="C951" s="162" t="s">
        <v>2408</v>
      </c>
      <c r="D951" s="162" t="str">
        <f t="shared" si="15"/>
        <v>岐阜県中津川市(旧長野県木曽郡山口村、旧坂下町、旧川上村、旧加子母村、旧付知町、旧福岡町、旧蛭川村に限る。)</v>
      </c>
      <c r="E951" s="161">
        <v>4</v>
      </c>
      <c r="F951" s="157" t="s">
        <v>2409</v>
      </c>
    </row>
    <row r="952" spans="1:6" ht="15" customHeight="1">
      <c r="A952" s="155">
        <v>21</v>
      </c>
      <c r="B952" s="161" t="s">
        <v>2347</v>
      </c>
      <c r="C952" s="162" t="s">
        <v>2410</v>
      </c>
      <c r="D952" s="162" t="str">
        <f t="shared" si="15"/>
        <v>岐阜県羽島市</v>
      </c>
      <c r="E952" s="161">
        <v>6</v>
      </c>
      <c r="F952" s="157" t="s">
        <v>2411</v>
      </c>
    </row>
    <row r="953" spans="1:6" ht="15" customHeight="1">
      <c r="A953" s="155">
        <v>21</v>
      </c>
      <c r="B953" s="161" t="s">
        <v>2347</v>
      </c>
      <c r="C953" s="162" t="s">
        <v>2412</v>
      </c>
      <c r="D953" s="162" t="str">
        <f t="shared" si="15"/>
        <v>岐阜県東白川村</v>
      </c>
      <c r="E953" s="161">
        <v>4</v>
      </c>
      <c r="F953" s="157" t="s">
        <v>2413</v>
      </c>
    </row>
    <row r="954" spans="1:6" ht="15" customHeight="1">
      <c r="A954" s="155">
        <v>21</v>
      </c>
      <c r="B954" s="161" t="s">
        <v>2347</v>
      </c>
      <c r="C954" s="162" t="s">
        <v>2414</v>
      </c>
      <c r="D954" s="162" t="str">
        <f t="shared" si="15"/>
        <v>岐阜県飛騨市</v>
      </c>
      <c r="E954" s="161">
        <v>3</v>
      </c>
      <c r="F954" s="157" t="s">
        <v>2415</v>
      </c>
    </row>
    <row r="955" spans="1:6" ht="15" customHeight="1">
      <c r="A955" s="155">
        <v>21</v>
      </c>
      <c r="B955" s="161" t="s">
        <v>2347</v>
      </c>
      <c r="C955" s="162" t="s">
        <v>2416</v>
      </c>
      <c r="D955" s="162" t="str">
        <f t="shared" si="15"/>
        <v>岐阜県七宗町</v>
      </c>
      <c r="E955" s="161">
        <v>5</v>
      </c>
      <c r="F955" s="157" t="s">
        <v>2417</v>
      </c>
    </row>
    <row r="956" spans="1:6" ht="15" customHeight="1">
      <c r="A956" s="155">
        <v>21</v>
      </c>
      <c r="B956" s="161" t="s">
        <v>2347</v>
      </c>
      <c r="C956" s="162" t="s">
        <v>2418</v>
      </c>
      <c r="D956" s="162" t="str">
        <f t="shared" si="15"/>
        <v>岐阜県北方町</v>
      </c>
      <c r="E956" s="161">
        <v>6</v>
      </c>
      <c r="F956" s="157" t="s">
        <v>2419</v>
      </c>
    </row>
    <row r="957" spans="1:6" ht="15" customHeight="1">
      <c r="A957" s="155">
        <v>21</v>
      </c>
      <c r="B957" s="161" t="s">
        <v>2347</v>
      </c>
      <c r="C957" s="162" t="s">
        <v>2420</v>
      </c>
      <c r="D957" s="162" t="str">
        <f t="shared" si="15"/>
        <v>岐阜県瑞浪市</v>
      </c>
      <c r="E957" s="161">
        <v>5</v>
      </c>
      <c r="F957" s="157" t="s">
        <v>2421</v>
      </c>
    </row>
    <row r="958" spans="1:6" ht="15" customHeight="1">
      <c r="A958" s="155">
        <v>21</v>
      </c>
      <c r="B958" s="161" t="s">
        <v>2347</v>
      </c>
      <c r="C958" s="162" t="s">
        <v>2422</v>
      </c>
      <c r="D958" s="162" t="str">
        <f t="shared" si="15"/>
        <v>岐阜県瑞穂市</v>
      </c>
      <c r="E958" s="161">
        <v>6</v>
      </c>
      <c r="F958" s="157" t="s">
        <v>2423</v>
      </c>
    </row>
    <row r="959" spans="1:6" ht="15" customHeight="1">
      <c r="A959" s="155">
        <v>21</v>
      </c>
      <c r="B959" s="161" t="s">
        <v>2347</v>
      </c>
      <c r="C959" s="162" t="s">
        <v>2424</v>
      </c>
      <c r="D959" s="162" t="str">
        <f t="shared" si="15"/>
        <v>岐阜県御嵩町</v>
      </c>
      <c r="E959" s="161">
        <v>5</v>
      </c>
      <c r="F959" s="157" t="s">
        <v>2425</v>
      </c>
    </row>
    <row r="960" spans="1:6" ht="15" customHeight="1">
      <c r="A960" s="155">
        <v>21</v>
      </c>
      <c r="B960" s="161" t="s">
        <v>2347</v>
      </c>
      <c r="C960" s="162" t="s">
        <v>2426</v>
      </c>
      <c r="D960" s="162" t="str">
        <f t="shared" si="15"/>
        <v>岐阜県美濃加茂市</v>
      </c>
      <c r="E960" s="161">
        <v>6</v>
      </c>
      <c r="F960" s="157" t="s">
        <v>2427</v>
      </c>
    </row>
    <row r="961" spans="1:6" ht="15" customHeight="1">
      <c r="A961" s="155">
        <v>21</v>
      </c>
      <c r="B961" s="161" t="s">
        <v>2347</v>
      </c>
      <c r="C961" s="162" t="s">
        <v>2428</v>
      </c>
      <c r="D961" s="162" t="str">
        <f t="shared" si="15"/>
        <v>岐阜県美濃市</v>
      </c>
      <c r="E961" s="161">
        <v>5</v>
      </c>
      <c r="F961" s="157" t="s">
        <v>2429</v>
      </c>
    </row>
    <row r="962" spans="1:6" ht="15" customHeight="1">
      <c r="A962" s="155">
        <v>21</v>
      </c>
      <c r="B962" s="161" t="s">
        <v>2347</v>
      </c>
      <c r="C962" s="162" t="s">
        <v>2430</v>
      </c>
      <c r="D962" s="162" t="str">
        <f t="shared" si="15"/>
        <v>岐阜県本巣市（旧根尾村に限る。）</v>
      </c>
      <c r="E962" s="161">
        <v>4</v>
      </c>
      <c r="F962" s="157" t="s">
        <v>2431</v>
      </c>
    </row>
    <row r="963" spans="1:6" ht="15" customHeight="1">
      <c r="A963" s="155">
        <v>21</v>
      </c>
      <c r="B963" s="161" t="s">
        <v>2347</v>
      </c>
      <c r="C963" s="162" t="s">
        <v>2432</v>
      </c>
      <c r="D963" s="162" t="str">
        <f t="shared" si="15"/>
        <v>岐阜県本巣市（旧本巣町、旧真正町、旧糸貫町に限る。）</v>
      </c>
      <c r="E963" s="161">
        <v>6</v>
      </c>
      <c r="F963" s="157" t="s">
        <v>2433</v>
      </c>
    </row>
    <row r="964" spans="1:6" ht="15" customHeight="1">
      <c r="A964" s="155">
        <v>21</v>
      </c>
      <c r="B964" s="161" t="s">
        <v>2347</v>
      </c>
      <c r="C964" s="162" t="s">
        <v>2434</v>
      </c>
      <c r="D964" s="162" t="str">
        <f t="shared" ref="D964:D1027" si="16">B964&amp;C964</f>
        <v>岐阜県八百津町</v>
      </c>
      <c r="E964" s="161">
        <v>5</v>
      </c>
      <c r="F964" s="157" t="s">
        <v>2435</v>
      </c>
    </row>
    <row r="965" spans="1:6" ht="15" customHeight="1">
      <c r="A965" s="155">
        <v>21</v>
      </c>
      <c r="B965" s="161" t="s">
        <v>2347</v>
      </c>
      <c r="C965" s="162" t="s">
        <v>2436</v>
      </c>
      <c r="D965" s="162" t="str">
        <f t="shared" si="16"/>
        <v>岐阜県山県市</v>
      </c>
      <c r="E965" s="161">
        <v>6</v>
      </c>
      <c r="F965" s="157" t="s">
        <v>1281</v>
      </c>
    </row>
    <row r="966" spans="1:6" ht="15" customHeight="1">
      <c r="A966" s="155">
        <v>21</v>
      </c>
      <c r="B966" s="161" t="s">
        <v>2347</v>
      </c>
      <c r="C966" s="162" t="s">
        <v>2437</v>
      </c>
      <c r="D966" s="162" t="str">
        <f t="shared" si="16"/>
        <v>岐阜県養老町</v>
      </c>
      <c r="E966" s="161">
        <v>6</v>
      </c>
      <c r="F966" s="157" t="s">
        <v>2438</v>
      </c>
    </row>
    <row r="967" spans="1:6" ht="15" customHeight="1">
      <c r="A967" s="155">
        <v>21</v>
      </c>
      <c r="B967" s="161" t="s">
        <v>2347</v>
      </c>
      <c r="C967" s="162" t="s">
        <v>2439</v>
      </c>
      <c r="D967" s="162" t="str">
        <f t="shared" si="16"/>
        <v>岐阜県輪之内町</v>
      </c>
      <c r="E967" s="161">
        <v>6</v>
      </c>
      <c r="F967" s="157" t="s">
        <v>2440</v>
      </c>
    </row>
    <row r="968" spans="1:6" ht="15" customHeight="1">
      <c r="A968" s="155">
        <v>22</v>
      </c>
      <c r="B968" s="161" t="s">
        <v>2441</v>
      </c>
      <c r="C968" s="162" t="s">
        <v>2442</v>
      </c>
      <c r="D968" s="162" t="str">
        <f t="shared" si="16"/>
        <v>静岡県熱海市</v>
      </c>
      <c r="E968" s="161">
        <v>6</v>
      </c>
      <c r="F968" s="157" t="s">
        <v>2443</v>
      </c>
    </row>
    <row r="969" spans="1:6" ht="15" customHeight="1">
      <c r="A969" s="155">
        <v>22</v>
      </c>
      <c r="B969" s="161" t="s">
        <v>2441</v>
      </c>
      <c r="C969" s="162" t="s">
        <v>2444</v>
      </c>
      <c r="D969" s="162" t="str">
        <f t="shared" si="16"/>
        <v>静岡県伊豆市</v>
      </c>
      <c r="E969" s="161">
        <v>6</v>
      </c>
      <c r="F969" s="157" t="s">
        <v>2445</v>
      </c>
    </row>
    <row r="970" spans="1:6" ht="15" customHeight="1">
      <c r="A970" s="155">
        <v>22</v>
      </c>
      <c r="B970" s="161" t="s">
        <v>2441</v>
      </c>
      <c r="C970" s="162" t="s">
        <v>2446</v>
      </c>
      <c r="D970" s="162" t="str">
        <f t="shared" si="16"/>
        <v>静岡県伊豆の国市</v>
      </c>
      <c r="E970" s="161">
        <v>6</v>
      </c>
      <c r="F970" s="157" t="s">
        <v>2447</v>
      </c>
    </row>
    <row r="971" spans="1:6" ht="15" customHeight="1">
      <c r="A971" s="155">
        <v>22</v>
      </c>
      <c r="B971" s="161" t="s">
        <v>2441</v>
      </c>
      <c r="C971" s="162" t="s">
        <v>2448</v>
      </c>
      <c r="D971" s="162" t="str">
        <f t="shared" si="16"/>
        <v>静岡県伊東市</v>
      </c>
      <c r="E971" s="161">
        <v>7</v>
      </c>
      <c r="F971" s="157" t="s">
        <v>2449</v>
      </c>
    </row>
    <row r="972" spans="1:6" ht="15" customHeight="1">
      <c r="A972" s="155">
        <v>22</v>
      </c>
      <c r="B972" s="161" t="s">
        <v>2441</v>
      </c>
      <c r="C972" s="162" t="s">
        <v>2450</v>
      </c>
      <c r="D972" s="162" t="str">
        <f t="shared" si="16"/>
        <v>静岡県磐田市</v>
      </c>
      <c r="E972" s="161">
        <v>7</v>
      </c>
      <c r="F972" s="157" t="s">
        <v>2451</v>
      </c>
    </row>
    <row r="973" spans="1:6" ht="15" customHeight="1">
      <c r="A973" s="155">
        <v>22</v>
      </c>
      <c r="B973" s="161" t="s">
        <v>2441</v>
      </c>
      <c r="C973" s="162" t="s">
        <v>2452</v>
      </c>
      <c r="D973" s="162" t="str">
        <f t="shared" si="16"/>
        <v>静岡県御前崎市</v>
      </c>
      <c r="E973" s="161">
        <v>7</v>
      </c>
      <c r="F973" s="157" t="s">
        <v>2453</v>
      </c>
    </row>
    <row r="974" spans="1:6" ht="15" customHeight="1">
      <c r="A974" s="155">
        <v>22</v>
      </c>
      <c r="B974" s="161" t="s">
        <v>2441</v>
      </c>
      <c r="C974" s="162" t="s">
        <v>2454</v>
      </c>
      <c r="D974" s="162" t="str">
        <f t="shared" si="16"/>
        <v>静岡県小山町</v>
      </c>
      <c r="E974" s="161">
        <v>5</v>
      </c>
      <c r="F974" s="157" t="s">
        <v>2455</v>
      </c>
    </row>
    <row r="975" spans="1:6" ht="15" customHeight="1">
      <c r="A975" s="155">
        <v>22</v>
      </c>
      <c r="B975" s="161" t="s">
        <v>2441</v>
      </c>
      <c r="C975" s="162" t="s">
        <v>2456</v>
      </c>
      <c r="D975" s="162" t="str">
        <f t="shared" si="16"/>
        <v>静岡県掛川市</v>
      </c>
      <c r="E975" s="161">
        <v>6</v>
      </c>
      <c r="F975" s="157" t="s">
        <v>2457</v>
      </c>
    </row>
    <row r="976" spans="1:6" ht="15" customHeight="1">
      <c r="A976" s="155">
        <v>22</v>
      </c>
      <c r="B976" s="161" t="s">
        <v>2441</v>
      </c>
      <c r="C976" s="162" t="s">
        <v>2458</v>
      </c>
      <c r="D976" s="162" t="str">
        <f t="shared" si="16"/>
        <v>静岡県河津町</v>
      </c>
      <c r="E976" s="161">
        <v>7</v>
      </c>
      <c r="F976" s="157" t="s">
        <v>2459</v>
      </c>
    </row>
    <row r="977" spans="1:6" ht="15" customHeight="1">
      <c r="A977" s="155">
        <v>22</v>
      </c>
      <c r="B977" s="161" t="s">
        <v>2441</v>
      </c>
      <c r="C977" s="162" t="s">
        <v>2460</v>
      </c>
      <c r="D977" s="162" t="str">
        <f t="shared" si="16"/>
        <v>静岡県川根本町</v>
      </c>
      <c r="E977" s="161">
        <v>5</v>
      </c>
      <c r="F977" s="157" t="s">
        <v>2461</v>
      </c>
    </row>
    <row r="978" spans="1:6" ht="15" customHeight="1">
      <c r="A978" s="155">
        <v>22</v>
      </c>
      <c r="B978" s="161" t="s">
        <v>2441</v>
      </c>
      <c r="C978" s="162" t="s">
        <v>2462</v>
      </c>
      <c r="D978" s="162" t="str">
        <f t="shared" si="16"/>
        <v>静岡県函南町</v>
      </c>
      <c r="E978" s="161">
        <v>6</v>
      </c>
      <c r="F978" s="157" t="s">
        <v>2463</v>
      </c>
    </row>
    <row r="979" spans="1:6" ht="15" customHeight="1">
      <c r="A979" s="155">
        <v>22</v>
      </c>
      <c r="B979" s="161" t="s">
        <v>2441</v>
      </c>
      <c r="C979" s="162" t="s">
        <v>2464</v>
      </c>
      <c r="D979" s="162" t="str">
        <f t="shared" si="16"/>
        <v>静岡県菊川市</v>
      </c>
      <c r="E979" s="161">
        <v>6</v>
      </c>
      <c r="F979" s="157" t="s">
        <v>2465</v>
      </c>
    </row>
    <row r="980" spans="1:6" ht="15" customHeight="1">
      <c r="A980" s="155">
        <v>22</v>
      </c>
      <c r="B980" s="161" t="s">
        <v>2441</v>
      </c>
      <c r="C980" s="162" t="s">
        <v>2466</v>
      </c>
      <c r="D980" s="162" t="str">
        <f t="shared" si="16"/>
        <v>静岡県湖西市</v>
      </c>
      <c r="E980" s="161">
        <v>6</v>
      </c>
      <c r="F980" s="157" t="s">
        <v>2467</v>
      </c>
    </row>
    <row r="981" spans="1:6" ht="15" customHeight="1">
      <c r="A981" s="155">
        <v>22</v>
      </c>
      <c r="B981" s="161" t="s">
        <v>2441</v>
      </c>
      <c r="C981" s="162" t="s">
        <v>2468</v>
      </c>
      <c r="D981" s="162" t="str">
        <f t="shared" si="16"/>
        <v>静岡県御殿場市</v>
      </c>
      <c r="E981" s="161">
        <v>5</v>
      </c>
      <c r="F981" s="157" t="s">
        <v>2469</v>
      </c>
    </row>
    <row r="982" spans="1:6" ht="15" customHeight="1">
      <c r="A982" s="155">
        <v>22</v>
      </c>
      <c r="B982" s="161" t="s">
        <v>2441</v>
      </c>
      <c r="C982" s="162" t="s">
        <v>2470</v>
      </c>
      <c r="D982" s="162" t="str">
        <f t="shared" si="16"/>
        <v>静岡県静岡市</v>
      </c>
      <c r="E982" s="161">
        <v>7</v>
      </c>
      <c r="F982" s="157" t="s">
        <v>2471</v>
      </c>
    </row>
    <row r="983" spans="1:6" ht="15" customHeight="1">
      <c r="A983" s="155">
        <v>22</v>
      </c>
      <c r="B983" s="161" t="s">
        <v>2441</v>
      </c>
      <c r="C983" s="162" t="s">
        <v>2472</v>
      </c>
      <c r="D983" s="162" t="str">
        <f t="shared" si="16"/>
        <v>静岡県島田市</v>
      </c>
      <c r="E983" s="161">
        <v>6</v>
      </c>
      <c r="F983" s="157" t="s">
        <v>2473</v>
      </c>
    </row>
    <row r="984" spans="1:6" ht="15" customHeight="1">
      <c r="A984" s="155">
        <v>22</v>
      </c>
      <c r="B984" s="161" t="s">
        <v>2441</v>
      </c>
      <c r="C984" s="162" t="s">
        <v>719</v>
      </c>
      <c r="D984" s="162" t="str">
        <f t="shared" si="16"/>
        <v>静岡県清水町</v>
      </c>
      <c r="E984" s="161">
        <v>7</v>
      </c>
      <c r="F984" s="157" t="s">
        <v>720</v>
      </c>
    </row>
    <row r="985" spans="1:6" ht="15" customHeight="1">
      <c r="A985" s="155">
        <v>22</v>
      </c>
      <c r="B985" s="161" t="s">
        <v>2441</v>
      </c>
      <c r="C985" s="162" t="s">
        <v>2474</v>
      </c>
      <c r="D985" s="162" t="str">
        <f t="shared" si="16"/>
        <v>静岡県下田市</v>
      </c>
      <c r="E985" s="161">
        <v>7</v>
      </c>
      <c r="F985" s="157" t="s">
        <v>2475</v>
      </c>
    </row>
    <row r="986" spans="1:6" ht="15" customHeight="1">
      <c r="A986" s="155">
        <v>22</v>
      </c>
      <c r="B986" s="161" t="s">
        <v>2441</v>
      </c>
      <c r="C986" s="162" t="s">
        <v>2476</v>
      </c>
      <c r="D986" s="162" t="str">
        <f t="shared" si="16"/>
        <v>静岡県裾野市</v>
      </c>
      <c r="E986" s="161">
        <v>6</v>
      </c>
      <c r="F986" s="157" t="s">
        <v>2477</v>
      </c>
    </row>
    <row r="987" spans="1:6" ht="15" customHeight="1">
      <c r="A987" s="155">
        <v>22</v>
      </c>
      <c r="B987" s="161" t="s">
        <v>2441</v>
      </c>
      <c r="C987" s="162" t="s">
        <v>2478</v>
      </c>
      <c r="D987" s="162" t="str">
        <f t="shared" si="16"/>
        <v>静岡県長泉町</v>
      </c>
      <c r="E987" s="161">
        <v>6</v>
      </c>
      <c r="F987" s="157" t="s">
        <v>2479</v>
      </c>
    </row>
    <row r="988" spans="1:6" ht="15" customHeight="1">
      <c r="A988" s="155">
        <v>22</v>
      </c>
      <c r="B988" s="161" t="s">
        <v>2441</v>
      </c>
      <c r="C988" s="162" t="s">
        <v>2480</v>
      </c>
      <c r="D988" s="162" t="str">
        <f t="shared" si="16"/>
        <v>静岡県西伊豆町</v>
      </c>
      <c r="E988" s="161">
        <v>6</v>
      </c>
      <c r="F988" s="157" t="s">
        <v>2481</v>
      </c>
    </row>
    <row r="989" spans="1:6" ht="15" customHeight="1">
      <c r="A989" s="155">
        <v>22</v>
      </c>
      <c r="B989" s="161" t="s">
        <v>2441</v>
      </c>
      <c r="C989" s="162" t="s">
        <v>2482</v>
      </c>
      <c r="D989" s="162" t="str">
        <f t="shared" si="16"/>
        <v>静岡県沼津市</v>
      </c>
      <c r="E989" s="161">
        <v>7</v>
      </c>
      <c r="F989" s="157" t="s">
        <v>2483</v>
      </c>
    </row>
    <row r="990" spans="1:6" ht="15" customHeight="1">
      <c r="A990" s="155">
        <v>22</v>
      </c>
      <c r="B990" s="161" t="s">
        <v>2441</v>
      </c>
      <c r="C990" s="162" t="s">
        <v>2484</v>
      </c>
      <c r="D990" s="162" t="str">
        <f t="shared" si="16"/>
        <v>静岡県浜松市</v>
      </c>
      <c r="E990" s="161">
        <v>6</v>
      </c>
      <c r="F990" s="157" t="s">
        <v>2485</v>
      </c>
    </row>
    <row r="991" spans="1:6" ht="15" customHeight="1">
      <c r="A991" s="155">
        <v>22</v>
      </c>
      <c r="B991" s="161" t="s">
        <v>2441</v>
      </c>
      <c r="C991" s="162" t="s">
        <v>2486</v>
      </c>
      <c r="D991" s="162" t="str">
        <f t="shared" si="16"/>
        <v>静岡県東伊豆町</v>
      </c>
      <c r="E991" s="161">
        <v>7</v>
      </c>
      <c r="F991" s="157" t="s">
        <v>2487</v>
      </c>
    </row>
    <row r="992" spans="1:6" ht="15" customHeight="1">
      <c r="A992" s="155">
        <v>22</v>
      </c>
      <c r="B992" s="161" t="s">
        <v>2441</v>
      </c>
      <c r="C992" s="162" t="s">
        <v>2488</v>
      </c>
      <c r="D992" s="162" t="str">
        <f t="shared" si="16"/>
        <v>静岡県袋井市</v>
      </c>
      <c r="E992" s="161">
        <v>6</v>
      </c>
      <c r="F992" s="157" t="s">
        <v>2489</v>
      </c>
    </row>
    <row r="993" spans="1:6" ht="15" customHeight="1">
      <c r="A993" s="155">
        <v>22</v>
      </c>
      <c r="B993" s="161" t="s">
        <v>2441</v>
      </c>
      <c r="C993" s="162" t="s">
        <v>2490</v>
      </c>
      <c r="D993" s="162" t="str">
        <f t="shared" si="16"/>
        <v>静岡県藤枝市</v>
      </c>
      <c r="E993" s="161">
        <v>7</v>
      </c>
      <c r="F993" s="157" t="s">
        <v>2491</v>
      </c>
    </row>
    <row r="994" spans="1:6" ht="15" customHeight="1">
      <c r="A994" s="155">
        <v>22</v>
      </c>
      <c r="B994" s="161" t="s">
        <v>2441</v>
      </c>
      <c r="C994" s="162" t="s">
        <v>2492</v>
      </c>
      <c r="D994" s="162" t="str">
        <f t="shared" si="16"/>
        <v>静岡県富士市</v>
      </c>
      <c r="E994" s="161">
        <v>7</v>
      </c>
      <c r="F994" s="157" t="s">
        <v>2493</v>
      </c>
    </row>
    <row r="995" spans="1:6" ht="15" customHeight="1">
      <c r="A995" s="155">
        <v>22</v>
      </c>
      <c r="B995" s="161" t="s">
        <v>2441</v>
      </c>
      <c r="C995" s="162" t="s">
        <v>2494</v>
      </c>
      <c r="D995" s="162" t="str">
        <f t="shared" si="16"/>
        <v>静岡県富士宮市</v>
      </c>
      <c r="E995" s="161">
        <v>6</v>
      </c>
      <c r="F995" s="157" t="s">
        <v>2495</v>
      </c>
    </row>
    <row r="996" spans="1:6" ht="15" customHeight="1">
      <c r="A996" s="155">
        <v>22</v>
      </c>
      <c r="B996" s="161" t="s">
        <v>2441</v>
      </c>
      <c r="C996" s="162" t="s">
        <v>2496</v>
      </c>
      <c r="D996" s="162" t="str">
        <f t="shared" si="16"/>
        <v>静岡県牧之原市</v>
      </c>
      <c r="E996" s="161">
        <v>7</v>
      </c>
      <c r="F996" s="157" t="s">
        <v>2497</v>
      </c>
    </row>
    <row r="997" spans="1:6" ht="15" customHeight="1">
      <c r="A997" s="155">
        <v>22</v>
      </c>
      <c r="B997" s="161" t="s">
        <v>2441</v>
      </c>
      <c r="C997" s="162" t="s">
        <v>2498</v>
      </c>
      <c r="D997" s="162" t="str">
        <f t="shared" si="16"/>
        <v>静岡県松崎町</v>
      </c>
      <c r="E997" s="161">
        <v>7</v>
      </c>
      <c r="F997" s="157" t="s">
        <v>2499</v>
      </c>
    </row>
    <row r="998" spans="1:6" ht="15" customHeight="1">
      <c r="A998" s="155">
        <v>22</v>
      </c>
      <c r="B998" s="161" t="s">
        <v>2441</v>
      </c>
      <c r="C998" s="162" t="s">
        <v>2500</v>
      </c>
      <c r="D998" s="162" t="str">
        <f t="shared" si="16"/>
        <v>静岡県三島市</v>
      </c>
      <c r="E998" s="161">
        <v>6</v>
      </c>
      <c r="F998" s="157" t="s">
        <v>2501</v>
      </c>
    </row>
    <row r="999" spans="1:6" ht="15" customHeight="1">
      <c r="A999" s="155">
        <v>22</v>
      </c>
      <c r="B999" s="161" t="s">
        <v>2441</v>
      </c>
      <c r="C999" s="162" t="s">
        <v>2502</v>
      </c>
      <c r="D999" s="162" t="str">
        <f t="shared" si="16"/>
        <v>静岡県南伊豆町</v>
      </c>
      <c r="E999" s="161">
        <v>7</v>
      </c>
      <c r="F999" s="157" t="s">
        <v>2503</v>
      </c>
    </row>
    <row r="1000" spans="1:6" ht="15" customHeight="1">
      <c r="A1000" s="155">
        <v>22</v>
      </c>
      <c r="B1000" s="161" t="s">
        <v>2441</v>
      </c>
      <c r="C1000" s="162" t="s">
        <v>901</v>
      </c>
      <c r="D1000" s="162" t="str">
        <f t="shared" si="16"/>
        <v>静岡県森町</v>
      </c>
      <c r="E1000" s="161">
        <v>6</v>
      </c>
      <c r="F1000" s="157" t="s">
        <v>902</v>
      </c>
    </row>
    <row r="1001" spans="1:6" ht="15" customHeight="1">
      <c r="A1001" s="155">
        <v>22</v>
      </c>
      <c r="B1001" s="161" t="s">
        <v>2441</v>
      </c>
      <c r="C1001" s="162" t="s">
        <v>2504</v>
      </c>
      <c r="D1001" s="162" t="str">
        <f t="shared" si="16"/>
        <v>静岡県焼津市</v>
      </c>
      <c r="E1001" s="161">
        <v>7</v>
      </c>
      <c r="F1001" s="157" t="s">
        <v>2505</v>
      </c>
    </row>
    <row r="1002" spans="1:6" ht="15" customHeight="1">
      <c r="A1002" s="155">
        <v>22</v>
      </c>
      <c r="B1002" s="161" t="s">
        <v>2441</v>
      </c>
      <c r="C1002" s="162" t="s">
        <v>2506</v>
      </c>
      <c r="D1002" s="162" t="str">
        <f t="shared" si="16"/>
        <v>静岡県吉田町</v>
      </c>
      <c r="E1002" s="161">
        <v>7</v>
      </c>
      <c r="F1002" s="157" t="s">
        <v>2507</v>
      </c>
    </row>
    <row r="1003" spans="1:6" ht="15" customHeight="1">
      <c r="A1003" s="155">
        <v>23</v>
      </c>
      <c r="B1003" s="161" t="s">
        <v>2508</v>
      </c>
      <c r="C1003" s="162" t="s">
        <v>2509</v>
      </c>
      <c r="D1003" s="162" t="str">
        <f t="shared" si="16"/>
        <v>愛知県愛西市</v>
      </c>
      <c r="E1003" s="161">
        <v>6</v>
      </c>
      <c r="F1003" s="157" t="s">
        <v>2510</v>
      </c>
    </row>
    <row r="1004" spans="1:6" ht="15" customHeight="1">
      <c r="A1004" s="155">
        <v>23</v>
      </c>
      <c r="B1004" s="161" t="s">
        <v>2508</v>
      </c>
      <c r="C1004" s="162" t="s">
        <v>2511</v>
      </c>
      <c r="D1004" s="162" t="str">
        <f t="shared" si="16"/>
        <v>愛知県阿久比町</v>
      </c>
      <c r="E1004" s="161">
        <v>6</v>
      </c>
      <c r="F1004" s="157" t="s">
        <v>2512</v>
      </c>
    </row>
    <row r="1005" spans="1:6" ht="15" customHeight="1">
      <c r="A1005" s="155">
        <v>23</v>
      </c>
      <c r="B1005" s="161" t="s">
        <v>2508</v>
      </c>
      <c r="C1005" s="162" t="s">
        <v>2513</v>
      </c>
      <c r="D1005" s="162" t="str">
        <f t="shared" si="16"/>
        <v>愛知県あま市</v>
      </c>
      <c r="E1005" s="161">
        <v>6</v>
      </c>
      <c r="F1005" s="157" t="s">
        <v>2514</v>
      </c>
    </row>
    <row r="1006" spans="1:6" ht="15" customHeight="1">
      <c r="A1006" s="155">
        <v>23</v>
      </c>
      <c r="B1006" s="161" t="s">
        <v>2508</v>
      </c>
      <c r="C1006" s="162" t="s">
        <v>2515</v>
      </c>
      <c r="D1006" s="162" t="str">
        <f t="shared" si="16"/>
        <v>愛知県安城市</v>
      </c>
      <c r="E1006" s="161">
        <v>6</v>
      </c>
      <c r="F1006" s="157" t="s">
        <v>2516</v>
      </c>
    </row>
    <row r="1007" spans="1:6" ht="15" customHeight="1">
      <c r="A1007" s="155">
        <v>23</v>
      </c>
      <c r="B1007" s="161" t="s">
        <v>2508</v>
      </c>
      <c r="C1007" s="162" t="s">
        <v>2517</v>
      </c>
      <c r="D1007" s="162" t="str">
        <f t="shared" si="16"/>
        <v>愛知県一宮市</v>
      </c>
      <c r="E1007" s="161">
        <v>6</v>
      </c>
      <c r="F1007" s="157" t="s">
        <v>2518</v>
      </c>
    </row>
    <row r="1008" spans="1:6" ht="15" customHeight="1">
      <c r="A1008" s="155">
        <v>23</v>
      </c>
      <c r="B1008" s="161" t="s">
        <v>2508</v>
      </c>
      <c r="C1008" s="162" t="s">
        <v>2519</v>
      </c>
      <c r="D1008" s="162" t="str">
        <f t="shared" si="16"/>
        <v>愛知県稲沢市</v>
      </c>
      <c r="E1008" s="161">
        <v>6</v>
      </c>
      <c r="F1008" s="157" t="s">
        <v>2520</v>
      </c>
    </row>
    <row r="1009" spans="1:6" ht="15" customHeight="1">
      <c r="A1009" s="155">
        <v>23</v>
      </c>
      <c r="B1009" s="161" t="s">
        <v>2508</v>
      </c>
      <c r="C1009" s="162" t="s">
        <v>2521</v>
      </c>
      <c r="D1009" s="162" t="str">
        <f t="shared" si="16"/>
        <v>愛知県犬山市</v>
      </c>
      <c r="E1009" s="161">
        <v>6</v>
      </c>
      <c r="F1009" s="157" t="s">
        <v>2522</v>
      </c>
    </row>
    <row r="1010" spans="1:6" ht="15" customHeight="1">
      <c r="A1010" s="155">
        <v>23</v>
      </c>
      <c r="B1010" s="161" t="s">
        <v>2508</v>
      </c>
      <c r="C1010" s="162" t="s">
        <v>2523</v>
      </c>
      <c r="D1010" s="162" t="str">
        <f t="shared" si="16"/>
        <v>愛知県岩倉市</v>
      </c>
      <c r="E1010" s="161">
        <v>6</v>
      </c>
      <c r="F1010" s="157" t="s">
        <v>2524</v>
      </c>
    </row>
    <row r="1011" spans="1:6" ht="15" customHeight="1">
      <c r="A1011" s="155">
        <v>23</v>
      </c>
      <c r="B1011" s="161" t="s">
        <v>2508</v>
      </c>
      <c r="C1011" s="162" t="s">
        <v>2525</v>
      </c>
      <c r="D1011" s="162" t="str">
        <f t="shared" si="16"/>
        <v>愛知県大口町</v>
      </c>
      <c r="E1011" s="161">
        <v>6</v>
      </c>
      <c r="F1011" s="157" t="s">
        <v>2526</v>
      </c>
    </row>
    <row r="1012" spans="1:6" ht="15" customHeight="1">
      <c r="A1012" s="155">
        <v>23</v>
      </c>
      <c r="B1012" s="161" t="s">
        <v>2508</v>
      </c>
      <c r="C1012" s="162" t="s">
        <v>2527</v>
      </c>
      <c r="D1012" s="162" t="str">
        <f t="shared" si="16"/>
        <v>愛知県大治町</v>
      </c>
      <c r="E1012" s="161">
        <v>6</v>
      </c>
      <c r="F1012" s="157" t="s">
        <v>2528</v>
      </c>
    </row>
    <row r="1013" spans="1:6" ht="15" customHeight="1">
      <c r="A1013" s="155">
        <v>23</v>
      </c>
      <c r="B1013" s="161" t="s">
        <v>2508</v>
      </c>
      <c r="C1013" s="162" t="s">
        <v>2529</v>
      </c>
      <c r="D1013" s="162" t="str">
        <f t="shared" si="16"/>
        <v>愛知県大府市</v>
      </c>
      <c r="E1013" s="161">
        <v>6</v>
      </c>
      <c r="F1013" s="157" t="s">
        <v>2530</v>
      </c>
    </row>
    <row r="1014" spans="1:6" ht="15" customHeight="1">
      <c r="A1014" s="155">
        <v>23</v>
      </c>
      <c r="B1014" s="161" t="s">
        <v>2508</v>
      </c>
      <c r="C1014" s="162" t="s">
        <v>2531</v>
      </c>
      <c r="D1014" s="162" t="str">
        <f t="shared" si="16"/>
        <v>愛知県岡崎市</v>
      </c>
      <c r="E1014" s="161">
        <v>6</v>
      </c>
      <c r="F1014" s="157" t="s">
        <v>2532</v>
      </c>
    </row>
    <row r="1015" spans="1:6" ht="15" customHeight="1">
      <c r="A1015" s="155">
        <v>23</v>
      </c>
      <c r="B1015" s="161" t="s">
        <v>2508</v>
      </c>
      <c r="C1015" s="162" t="s">
        <v>2533</v>
      </c>
      <c r="D1015" s="162" t="str">
        <f t="shared" si="16"/>
        <v>愛知県尾張旭市</v>
      </c>
      <c r="E1015" s="161">
        <v>6</v>
      </c>
      <c r="F1015" s="157" t="s">
        <v>2534</v>
      </c>
    </row>
    <row r="1016" spans="1:6" ht="15" customHeight="1">
      <c r="A1016" s="155">
        <v>23</v>
      </c>
      <c r="B1016" s="161" t="s">
        <v>2508</v>
      </c>
      <c r="C1016" s="162" t="s">
        <v>2535</v>
      </c>
      <c r="D1016" s="162" t="str">
        <f t="shared" si="16"/>
        <v>愛知県春日井市</v>
      </c>
      <c r="E1016" s="161">
        <v>6</v>
      </c>
      <c r="F1016" s="157" t="s">
        <v>2536</v>
      </c>
    </row>
    <row r="1017" spans="1:6" ht="15" customHeight="1">
      <c r="A1017" s="155">
        <v>23</v>
      </c>
      <c r="B1017" s="161" t="s">
        <v>2508</v>
      </c>
      <c r="C1017" s="162" t="s">
        <v>2537</v>
      </c>
      <c r="D1017" s="162" t="str">
        <f t="shared" si="16"/>
        <v>愛知県蒲郡市</v>
      </c>
      <c r="E1017" s="161">
        <v>6</v>
      </c>
      <c r="F1017" s="157" t="s">
        <v>2538</v>
      </c>
    </row>
    <row r="1018" spans="1:6" ht="15" customHeight="1">
      <c r="A1018" s="155">
        <v>23</v>
      </c>
      <c r="B1018" s="161" t="s">
        <v>2508</v>
      </c>
      <c r="C1018" s="162" t="s">
        <v>2539</v>
      </c>
      <c r="D1018" s="162" t="str">
        <f t="shared" si="16"/>
        <v>愛知県刈谷市</v>
      </c>
      <c r="E1018" s="161">
        <v>6</v>
      </c>
      <c r="F1018" s="157" t="s">
        <v>2540</v>
      </c>
    </row>
    <row r="1019" spans="1:6" ht="15" customHeight="1">
      <c r="A1019" s="155">
        <v>23</v>
      </c>
      <c r="B1019" s="161" t="s">
        <v>2508</v>
      </c>
      <c r="C1019" s="162" t="s">
        <v>2541</v>
      </c>
      <c r="D1019" s="162" t="str">
        <f t="shared" si="16"/>
        <v>愛知県北名古屋市</v>
      </c>
      <c r="E1019" s="161">
        <v>6</v>
      </c>
      <c r="F1019" s="157" t="s">
        <v>2542</v>
      </c>
    </row>
    <row r="1020" spans="1:6" ht="15" customHeight="1">
      <c r="A1020" s="155">
        <v>23</v>
      </c>
      <c r="B1020" s="161" t="s">
        <v>2508</v>
      </c>
      <c r="C1020" s="162" t="s">
        <v>2543</v>
      </c>
      <c r="D1020" s="162" t="str">
        <f t="shared" si="16"/>
        <v>愛知県清須市</v>
      </c>
      <c r="E1020" s="161">
        <v>6</v>
      </c>
      <c r="F1020" s="157" t="s">
        <v>2544</v>
      </c>
    </row>
    <row r="1021" spans="1:6" ht="15" customHeight="1">
      <c r="A1021" s="155">
        <v>23</v>
      </c>
      <c r="B1021" s="161" t="s">
        <v>2508</v>
      </c>
      <c r="C1021" s="162" t="s">
        <v>2545</v>
      </c>
      <c r="D1021" s="162" t="str">
        <f t="shared" si="16"/>
        <v>愛知県幸田町</v>
      </c>
      <c r="E1021" s="161">
        <v>6</v>
      </c>
      <c r="F1021" s="157" t="s">
        <v>2546</v>
      </c>
    </row>
    <row r="1022" spans="1:6" ht="15" customHeight="1">
      <c r="A1022" s="155">
        <v>23</v>
      </c>
      <c r="B1022" s="161" t="s">
        <v>2508</v>
      </c>
      <c r="C1022" s="162" t="s">
        <v>2547</v>
      </c>
      <c r="D1022" s="162" t="str">
        <f t="shared" si="16"/>
        <v>愛知県江南市</v>
      </c>
      <c r="E1022" s="161">
        <v>6</v>
      </c>
      <c r="F1022" s="157" t="s">
        <v>2548</v>
      </c>
    </row>
    <row r="1023" spans="1:6" ht="15" customHeight="1">
      <c r="A1023" s="155">
        <v>23</v>
      </c>
      <c r="B1023" s="161" t="s">
        <v>2508</v>
      </c>
      <c r="C1023" s="162" t="s">
        <v>2549</v>
      </c>
      <c r="D1023" s="162" t="str">
        <f t="shared" si="16"/>
        <v>愛知県小牧市</v>
      </c>
      <c r="E1023" s="161">
        <v>6</v>
      </c>
      <c r="F1023" s="157" t="s">
        <v>2550</v>
      </c>
    </row>
    <row r="1024" spans="1:6" ht="15" customHeight="1">
      <c r="A1024" s="155">
        <v>23</v>
      </c>
      <c r="B1024" s="161" t="s">
        <v>2508</v>
      </c>
      <c r="C1024" s="162" t="s">
        <v>2551</v>
      </c>
      <c r="D1024" s="162" t="str">
        <f t="shared" si="16"/>
        <v>愛知県設楽町（旧設楽町に限る。）</v>
      </c>
      <c r="E1024" s="161">
        <v>5</v>
      </c>
      <c r="F1024" s="157" t="s">
        <v>2552</v>
      </c>
    </row>
    <row r="1025" spans="1:6" ht="15" customHeight="1">
      <c r="A1025" s="155">
        <v>23</v>
      </c>
      <c r="B1025" s="161" t="s">
        <v>2508</v>
      </c>
      <c r="C1025" s="162" t="s">
        <v>2553</v>
      </c>
      <c r="D1025" s="162" t="str">
        <f t="shared" si="16"/>
        <v>愛知県設楽町（旧津具村に限る。）</v>
      </c>
      <c r="E1025" s="161">
        <v>4</v>
      </c>
      <c r="F1025" s="157" t="s">
        <v>2554</v>
      </c>
    </row>
    <row r="1026" spans="1:6" ht="15" customHeight="1">
      <c r="A1026" s="155">
        <v>23</v>
      </c>
      <c r="B1026" s="161" t="s">
        <v>2508</v>
      </c>
      <c r="C1026" s="162" t="s">
        <v>2555</v>
      </c>
      <c r="D1026" s="162" t="str">
        <f t="shared" si="16"/>
        <v>愛知県新城市</v>
      </c>
      <c r="E1026" s="161">
        <v>6</v>
      </c>
      <c r="F1026" s="157" t="s">
        <v>2556</v>
      </c>
    </row>
    <row r="1027" spans="1:6" ht="15" customHeight="1">
      <c r="A1027" s="155">
        <v>23</v>
      </c>
      <c r="B1027" s="161" t="s">
        <v>2508</v>
      </c>
      <c r="C1027" s="162" t="s">
        <v>2557</v>
      </c>
      <c r="D1027" s="162" t="str">
        <f t="shared" si="16"/>
        <v>愛知県瀬戸市</v>
      </c>
      <c r="E1027" s="161">
        <v>6</v>
      </c>
      <c r="F1027" s="157" t="s">
        <v>2558</v>
      </c>
    </row>
    <row r="1028" spans="1:6" ht="15" customHeight="1">
      <c r="A1028" s="155">
        <v>23</v>
      </c>
      <c r="B1028" s="161" t="s">
        <v>2508</v>
      </c>
      <c r="C1028" s="162" t="s">
        <v>2559</v>
      </c>
      <c r="D1028" s="162" t="str">
        <f t="shared" ref="D1028:D1091" si="17">B1028&amp;C1028</f>
        <v>愛知県高浜市</v>
      </c>
      <c r="E1028" s="161">
        <v>6</v>
      </c>
      <c r="F1028" s="157" t="s">
        <v>2560</v>
      </c>
    </row>
    <row r="1029" spans="1:6" ht="15" customHeight="1">
      <c r="A1029" s="155">
        <v>23</v>
      </c>
      <c r="B1029" s="161" t="s">
        <v>2508</v>
      </c>
      <c r="C1029" s="162" t="s">
        <v>2561</v>
      </c>
      <c r="D1029" s="162" t="str">
        <f t="shared" si="17"/>
        <v>愛知県武豊町</v>
      </c>
      <c r="E1029" s="161">
        <v>6</v>
      </c>
      <c r="F1029" s="157" t="s">
        <v>2562</v>
      </c>
    </row>
    <row r="1030" spans="1:6" ht="15" customHeight="1">
      <c r="A1030" s="155">
        <v>23</v>
      </c>
      <c r="B1030" s="161" t="s">
        <v>2508</v>
      </c>
      <c r="C1030" s="162" t="s">
        <v>2563</v>
      </c>
      <c r="D1030" s="162" t="str">
        <f t="shared" si="17"/>
        <v>愛知県田原市</v>
      </c>
      <c r="E1030" s="161">
        <v>6</v>
      </c>
      <c r="F1030" s="157" t="s">
        <v>2564</v>
      </c>
    </row>
    <row r="1031" spans="1:6" ht="15" customHeight="1">
      <c r="A1031" s="155">
        <v>23</v>
      </c>
      <c r="B1031" s="161" t="s">
        <v>2508</v>
      </c>
      <c r="C1031" s="162" t="s">
        <v>2565</v>
      </c>
      <c r="D1031" s="162" t="str">
        <f t="shared" si="17"/>
        <v>愛知県知多市</v>
      </c>
      <c r="E1031" s="161">
        <v>6</v>
      </c>
      <c r="F1031" s="157" t="s">
        <v>2566</v>
      </c>
    </row>
    <row r="1032" spans="1:6" ht="15" customHeight="1">
      <c r="A1032" s="155">
        <v>23</v>
      </c>
      <c r="B1032" s="161" t="s">
        <v>2508</v>
      </c>
      <c r="C1032" s="162" t="s">
        <v>2567</v>
      </c>
      <c r="D1032" s="162" t="str">
        <f t="shared" si="17"/>
        <v>愛知県知立市</v>
      </c>
      <c r="E1032" s="161">
        <v>6</v>
      </c>
      <c r="F1032" s="157" t="s">
        <v>2568</v>
      </c>
    </row>
    <row r="1033" spans="1:6" ht="15" customHeight="1">
      <c r="A1033" s="155">
        <v>23</v>
      </c>
      <c r="B1033" s="161" t="s">
        <v>2508</v>
      </c>
      <c r="C1033" s="162" t="s">
        <v>2569</v>
      </c>
      <c r="D1033" s="162" t="str">
        <f t="shared" si="17"/>
        <v>愛知県津島市</v>
      </c>
      <c r="E1033" s="161">
        <v>6</v>
      </c>
      <c r="F1033" s="157" t="s">
        <v>2570</v>
      </c>
    </row>
    <row r="1034" spans="1:6" ht="15" customHeight="1">
      <c r="A1034" s="155">
        <v>23</v>
      </c>
      <c r="B1034" s="161" t="s">
        <v>2508</v>
      </c>
      <c r="C1034" s="162" t="s">
        <v>2571</v>
      </c>
      <c r="D1034" s="162" t="str">
        <f t="shared" si="17"/>
        <v>愛知県東栄町</v>
      </c>
      <c r="E1034" s="161">
        <v>5</v>
      </c>
      <c r="F1034" s="157" t="s">
        <v>2572</v>
      </c>
    </row>
    <row r="1035" spans="1:6" ht="15" customHeight="1">
      <c r="A1035" s="155">
        <v>23</v>
      </c>
      <c r="B1035" s="161" t="s">
        <v>2508</v>
      </c>
      <c r="C1035" s="162" t="s">
        <v>2573</v>
      </c>
      <c r="D1035" s="162" t="str">
        <f t="shared" si="17"/>
        <v>愛知県東海市</v>
      </c>
      <c r="E1035" s="161">
        <v>6</v>
      </c>
      <c r="F1035" s="157" t="s">
        <v>2574</v>
      </c>
    </row>
    <row r="1036" spans="1:6" ht="15" customHeight="1">
      <c r="A1036" s="155">
        <v>23</v>
      </c>
      <c r="B1036" s="161" t="s">
        <v>2508</v>
      </c>
      <c r="C1036" s="162" t="s">
        <v>2575</v>
      </c>
      <c r="D1036" s="162" t="str">
        <f t="shared" si="17"/>
        <v>愛知県東郷町</v>
      </c>
      <c r="E1036" s="161">
        <v>6</v>
      </c>
      <c r="F1036" s="157" t="s">
        <v>2576</v>
      </c>
    </row>
    <row r="1037" spans="1:6" ht="15" customHeight="1">
      <c r="A1037" s="155">
        <v>23</v>
      </c>
      <c r="B1037" s="161" t="s">
        <v>2508</v>
      </c>
      <c r="C1037" s="162" t="s">
        <v>2577</v>
      </c>
      <c r="D1037" s="162" t="str">
        <f t="shared" si="17"/>
        <v>愛知県常滑市</v>
      </c>
      <c r="E1037" s="161">
        <v>6</v>
      </c>
      <c r="F1037" s="157" t="s">
        <v>2578</v>
      </c>
    </row>
    <row r="1038" spans="1:6" ht="15" customHeight="1">
      <c r="A1038" s="155">
        <v>23</v>
      </c>
      <c r="B1038" s="161" t="s">
        <v>2508</v>
      </c>
      <c r="C1038" s="162" t="s">
        <v>2579</v>
      </c>
      <c r="D1038" s="162" t="str">
        <f t="shared" si="17"/>
        <v>愛知県飛島村</v>
      </c>
      <c r="E1038" s="161">
        <v>6</v>
      </c>
      <c r="F1038" s="157" t="s">
        <v>2580</v>
      </c>
    </row>
    <row r="1039" spans="1:6" ht="15" customHeight="1">
      <c r="A1039" s="155">
        <v>23</v>
      </c>
      <c r="B1039" s="161" t="s">
        <v>2508</v>
      </c>
      <c r="C1039" s="162" t="s">
        <v>2581</v>
      </c>
      <c r="D1039" s="162" t="str">
        <f t="shared" si="17"/>
        <v>愛知県豊明市</v>
      </c>
      <c r="E1039" s="161">
        <v>6</v>
      </c>
      <c r="F1039" s="157" t="s">
        <v>2582</v>
      </c>
    </row>
    <row r="1040" spans="1:6" ht="15" customHeight="1">
      <c r="A1040" s="155">
        <v>23</v>
      </c>
      <c r="B1040" s="161" t="s">
        <v>2508</v>
      </c>
      <c r="C1040" s="162" t="s">
        <v>2583</v>
      </c>
      <c r="D1040" s="162" t="str">
        <f t="shared" si="17"/>
        <v>愛知県豊川市</v>
      </c>
      <c r="E1040" s="161">
        <v>6</v>
      </c>
      <c r="F1040" s="157" t="s">
        <v>2584</v>
      </c>
    </row>
    <row r="1041" spans="1:6" ht="15" customHeight="1">
      <c r="A1041" s="155">
        <v>23</v>
      </c>
      <c r="B1041" s="161" t="s">
        <v>2508</v>
      </c>
      <c r="C1041" s="162" t="s">
        <v>2585</v>
      </c>
      <c r="D1041" s="162" t="str">
        <f t="shared" si="17"/>
        <v>愛知県豊田市（旧稲武町に限る。）</v>
      </c>
      <c r="E1041" s="161">
        <v>4</v>
      </c>
      <c r="F1041" s="157" t="s">
        <v>2586</v>
      </c>
    </row>
    <row r="1042" spans="1:6" ht="15" customHeight="1">
      <c r="A1042" s="155">
        <v>23</v>
      </c>
      <c r="B1042" s="161" t="s">
        <v>2508</v>
      </c>
      <c r="C1042" s="162" t="s">
        <v>2587</v>
      </c>
      <c r="D1042" s="162" t="str">
        <f t="shared" si="17"/>
        <v>愛知県豊田市（旧稲武町を除く。）</v>
      </c>
      <c r="E1042" s="161">
        <v>6</v>
      </c>
      <c r="F1042" s="157" t="s">
        <v>2588</v>
      </c>
    </row>
    <row r="1043" spans="1:6" ht="15" customHeight="1">
      <c r="A1043" s="155">
        <v>23</v>
      </c>
      <c r="B1043" s="161" t="s">
        <v>2508</v>
      </c>
      <c r="C1043" s="162" t="s">
        <v>2589</v>
      </c>
      <c r="D1043" s="162" t="str">
        <f t="shared" si="17"/>
        <v>愛知県豊根村</v>
      </c>
      <c r="E1043" s="161">
        <v>4</v>
      </c>
      <c r="F1043" s="157" t="s">
        <v>2590</v>
      </c>
    </row>
    <row r="1044" spans="1:6" ht="15" customHeight="1">
      <c r="A1044" s="155">
        <v>23</v>
      </c>
      <c r="B1044" s="161" t="s">
        <v>2508</v>
      </c>
      <c r="C1044" s="162" t="s">
        <v>2591</v>
      </c>
      <c r="D1044" s="162" t="str">
        <f t="shared" si="17"/>
        <v>愛知県豊橋市</v>
      </c>
      <c r="E1044" s="161">
        <v>7</v>
      </c>
      <c r="F1044" s="157" t="s">
        <v>2592</v>
      </c>
    </row>
    <row r="1045" spans="1:6" ht="15" customHeight="1">
      <c r="A1045" s="155">
        <v>23</v>
      </c>
      <c r="B1045" s="161" t="s">
        <v>2508</v>
      </c>
      <c r="C1045" s="162" t="s">
        <v>2593</v>
      </c>
      <c r="D1045" s="162" t="str">
        <f t="shared" si="17"/>
        <v>愛知県豊山町</v>
      </c>
      <c r="E1045" s="161">
        <v>6</v>
      </c>
      <c r="F1045" s="157" t="s">
        <v>2594</v>
      </c>
    </row>
    <row r="1046" spans="1:6" ht="15" customHeight="1">
      <c r="A1046" s="155">
        <v>23</v>
      </c>
      <c r="B1046" s="161" t="s">
        <v>2508</v>
      </c>
      <c r="C1046" s="162" t="s">
        <v>2595</v>
      </c>
      <c r="D1046" s="162" t="str">
        <f t="shared" si="17"/>
        <v>愛知県長久手市</v>
      </c>
      <c r="E1046" s="161">
        <v>6</v>
      </c>
      <c r="F1046" s="157" t="s">
        <v>2596</v>
      </c>
    </row>
    <row r="1047" spans="1:6" ht="15" customHeight="1">
      <c r="A1047" s="155">
        <v>23</v>
      </c>
      <c r="B1047" s="161" t="s">
        <v>2508</v>
      </c>
      <c r="C1047" s="162" t="s">
        <v>2597</v>
      </c>
      <c r="D1047" s="162" t="str">
        <f t="shared" si="17"/>
        <v>愛知県名古屋市</v>
      </c>
      <c r="E1047" s="161">
        <v>6</v>
      </c>
      <c r="F1047" s="157" t="s">
        <v>2598</v>
      </c>
    </row>
    <row r="1048" spans="1:6" ht="15" customHeight="1">
      <c r="A1048" s="155">
        <v>23</v>
      </c>
      <c r="B1048" s="161" t="s">
        <v>2508</v>
      </c>
      <c r="C1048" s="162" t="s">
        <v>2599</v>
      </c>
      <c r="D1048" s="162" t="str">
        <f t="shared" si="17"/>
        <v>愛知県西尾市</v>
      </c>
      <c r="E1048" s="161">
        <v>6</v>
      </c>
      <c r="F1048" s="157" t="s">
        <v>2600</v>
      </c>
    </row>
    <row r="1049" spans="1:6" ht="15" customHeight="1">
      <c r="A1049" s="155">
        <v>23</v>
      </c>
      <c r="B1049" s="161" t="s">
        <v>2508</v>
      </c>
      <c r="C1049" s="162" t="s">
        <v>2601</v>
      </c>
      <c r="D1049" s="162" t="str">
        <f t="shared" si="17"/>
        <v>愛知県日進市</v>
      </c>
      <c r="E1049" s="161">
        <v>6</v>
      </c>
      <c r="F1049" s="157" t="s">
        <v>2602</v>
      </c>
    </row>
    <row r="1050" spans="1:6" ht="15" customHeight="1">
      <c r="A1050" s="155">
        <v>23</v>
      </c>
      <c r="B1050" s="161" t="s">
        <v>2508</v>
      </c>
      <c r="C1050" s="162" t="s">
        <v>2603</v>
      </c>
      <c r="D1050" s="162" t="str">
        <f t="shared" si="17"/>
        <v>愛知県半田市</v>
      </c>
      <c r="E1050" s="161">
        <v>6</v>
      </c>
      <c r="F1050" s="157" t="s">
        <v>2604</v>
      </c>
    </row>
    <row r="1051" spans="1:6" ht="15" customHeight="1">
      <c r="A1051" s="155">
        <v>23</v>
      </c>
      <c r="B1051" s="161" t="s">
        <v>2508</v>
      </c>
      <c r="C1051" s="162" t="s">
        <v>2605</v>
      </c>
      <c r="D1051" s="162" t="str">
        <f t="shared" si="17"/>
        <v>愛知県東浦町</v>
      </c>
      <c r="E1051" s="161">
        <v>6</v>
      </c>
      <c r="F1051" s="157" t="s">
        <v>2606</v>
      </c>
    </row>
    <row r="1052" spans="1:6" ht="15" customHeight="1">
      <c r="A1052" s="155">
        <v>23</v>
      </c>
      <c r="B1052" s="161" t="s">
        <v>2508</v>
      </c>
      <c r="C1052" s="162" t="s">
        <v>2607</v>
      </c>
      <c r="D1052" s="162" t="str">
        <f t="shared" si="17"/>
        <v>愛知県扶桑町</v>
      </c>
      <c r="E1052" s="161">
        <v>6</v>
      </c>
      <c r="F1052" s="157" t="s">
        <v>2608</v>
      </c>
    </row>
    <row r="1053" spans="1:6" ht="15" customHeight="1">
      <c r="A1053" s="155">
        <v>23</v>
      </c>
      <c r="B1053" s="161" t="s">
        <v>2508</v>
      </c>
      <c r="C1053" s="162" t="s">
        <v>2609</v>
      </c>
      <c r="D1053" s="162" t="str">
        <f t="shared" si="17"/>
        <v>愛知県碧南市</v>
      </c>
      <c r="E1053" s="161">
        <v>6</v>
      </c>
      <c r="F1053" s="157" t="s">
        <v>2610</v>
      </c>
    </row>
    <row r="1054" spans="1:6" ht="15" customHeight="1">
      <c r="A1054" s="155">
        <v>23</v>
      </c>
      <c r="B1054" s="161" t="s">
        <v>2508</v>
      </c>
      <c r="C1054" s="162" t="s">
        <v>2611</v>
      </c>
      <c r="D1054" s="162" t="str">
        <f t="shared" si="17"/>
        <v>愛知県南知多町</v>
      </c>
      <c r="E1054" s="161">
        <v>6</v>
      </c>
      <c r="F1054" s="157" t="s">
        <v>2612</v>
      </c>
    </row>
    <row r="1055" spans="1:6" ht="15" customHeight="1">
      <c r="A1055" s="155">
        <v>23</v>
      </c>
      <c r="B1055" s="161" t="s">
        <v>2508</v>
      </c>
      <c r="C1055" s="162" t="s">
        <v>2120</v>
      </c>
      <c r="D1055" s="162" t="str">
        <f t="shared" si="17"/>
        <v>愛知県美浜町</v>
      </c>
      <c r="E1055" s="161">
        <v>6</v>
      </c>
      <c r="F1055" s="157" t="s">
        <v>2121</v>
      </c>
    </row>
    <row r="1056" spans="1:6" ht="15" customHeight="1">
      <c r="A1056" s="155">
        <v>23</v>
      </c>
      <c r="B1056" s="161" t="s">
        <v>2508</v>
      </c>
      <c r="C1056" s="162" t="s">
        <v>2613</v>
      </c>
      <c r="D1056" s="162" t="str">
        <f t="shared" si="17"/>
        <v>愛知県みよし市</v>
      </c>
      <c r="E1056" s="161">
        <v>6</v>
      </c>
      <c r="F1056" s="157" t="s">
        <v>2614</v>
      </c>
    </row>
    <row r="1057" spans="1:6" ht="15" customHeight="1">
      <c r="A1057" s="155">
        <v>23</v>
      </c>
      <c r="B1057" s="161" t="s">
        <v>2508</v>
      </c>
      <c r="C1057" s="162" t="s">
        <v>2615</v>
      </c>
      <c r="D1057" s="162" t="str">
        <f t="shared" si="17"/>
        <v>愛知県弥富市</v>
      </c>
      <c r="E1057" s="161">
        <v>6</v>
      </c>
      <c r="F1057" s="157" t="s">
        <v>2616</v>
      </c>
    </row>
    <row r="1058" spans="1:6" ht="15" customHeight="1">
      <c r="A1058" s="155">
        <v>24</v>
      </c>
      <c r="B1058" s="161" t="s">
        <v>2617</v>
      </c>
      <c r="C1058" s="162" t="s">
        <v>1216</v>
      </c>
      <c r="D1058" s="162" t="str">
        <f t="shared" si="17"/>
        <v>三重県朝日町</v>
      </c>
      <c r="E1058" s="161">
        <v>6</v>
      </c>
      <c r="F1058" s="157" t="s">
        <v>1217</v>
      </c>
    </row>
    <row r="1059" spans="1:6" ht="15" customHeight="1">
      <c r="A1059" s="155">
        <v>24</v>
      </c>
      <c r="B1059" s="161" t="s">
        <v>2617</v>
      </c>
      <c r="C1059" s="162" t="s">
        <v>2618</v>
      </c>
      <c r="D1059" s="162" t="str">
        <f t="shared" si="17"/>
        <v>三重県伊賀市</v>
      </c>
      <c r="E1059" s="161">
        <v>5</v>
      </c>
      <c r="F1059" s="157" t="s">
        <v>2619</v>
      </c>
    </row>
    <row r="1060" spans="1:6" ht="15" customHeight="1">
      <c r="A1060" s="155">
        <v>24</v>
      </c>
      <c r="B1060" s="161" t="s">
        <v>2617</v>
      </c>
      <c r="C1060" s="162" t="s">
        <v>2620</v>
      </c>
      <c r="D1060" s="162" t="str">
        <f t="shared" si="17"/>
        <v>三重県伊勢市</v>
      </c>
      <c r="E1060" s="161">
        <v>6</v>
      </c>
      <c r="F1060" s="157" t="s">
        <v>2621</v>
      </c>
    </row>
    <row r="1061" spans="1:6" ht="15" customHeight="1">
      <c r="A1061" s="155">
        <v>24</v>
      </c>
      <c r="B1061" s="161" t="s">
        <v>2617</v>
      </c>
      <c r="C1061" s="162" t="s">
        <v>2622</v>
      </c>
      <c r="D1061" s="162" t="str">
        <f t="shared" si="17"/>
        <v>三重県いなべ市（旧員弁町、旧大安町に限る。）</v>
      </c>
      <c r="E1061" s="161">
        <v>6</v>
      </c>
      <c r="F1061" s="157" t="s">
        <v>2623</v>
      </c>
    </row>
    <row r="1062" spans="1:6" ht="15" customHeight="1">
      <c r="A1062" s="155">
        <v>24</v>
      </c>
      <c r="B1062" s="161" t="s">
        <v>2617</v>
      </c>
      <c r="C1062" s="162" t="s">
        <v>2624</v>
      </c>
      <c r="D1062" s="162" t="str">
        <f t="shared" si="17"/>
        <v>三重県いなべ市（旧北勢町、旧藤原町に限る。）</v>
      </c>
      <c r="E1062" s="161">
        <v>5</v>
      </c>
      <c r="F1062" s="157" t="s">
        <v>2625</v>
      </c>
    </row>
    <row r="1063" spans="1:6" ht="15" customHeight="1">
      <c r="A1063" s="155">
        <v>24</v>
      </c>
      <c r="B1063" s="161" t="s">
        <v>2617</v>
      </c>
      <c r="C1063" s="162" t="s">
        <v>2626</v>
      </c>
      <c r="D1063" s="162" t="str">
        <f t="shared" si="17"/>
        <v>三重県大台町</v>
      </c>
      <c r="E1063" s="161">
        <v>6</v>
      </c>
      <c r="F1063" s="157" t="s">
        <v>2627</v>
      </c>
    </row>
    <row r="1064" spans="1:6" ht="15" customHeight="1">
      <c r="A1064" s="155">
        <v>24</v>
      </c>
      <c r="B1064" s="161" t="s">
        <v>2617</v>
      </c>
      <c r="C1064" s="162" t="s">
        <v>2628</v>
      </c>
      <c r="D1064" s="162" t="str">
        <f t="shared" si="17"/>
        <v>三重県尾鷲市</v>
      </c>
      <c r="E1064" s="161">
        <v>6</v>
      </c>
      <c r="F1064" s="157" t="s">
        <v>2629</v>
      </c>
    </row>
    <row r="1065" spans="1:6" ht="15" customHeight="1">
      <c r="A1065" s="155">
        <v>24</v>
      </c>
      <c r="B1065" s="161" t="s">
        <v>2617</v>
      </c>
      <c r="C1065" s="162" t="s">
        <v>2630</v>
      </c>
      <c r="D1065" s="162" t="str">
        <f t="shared" si="17"/>
        <v>三重県亀山市</v>
      </c>
      <c r="E1065" s="161">
        <v>6</v>
      </c>
      <c r="F1065" s="157" t="s">
        <v>2631</v>
      </c>
    </row>
    <row r="1066" spans="1:6" ht="15" customHeight="1">
      <c r="A1066" s="155">
        <v>24</v>
      </c>
      <c r="B1066" s="161" t="s">
        <v>2617</v>
      </c>
      <c r="C1066" s="162" t="s">
        <v>2632</v>
      </c>
      <c r="D1066" s="162" t="str">
        <f t="shared" si="17"/>
        <v>三重県川越町</v>
      </c>
      <c r="E1066" s="161">
        <v>6</v>
      </c>
      <c r="F1066" s="157" t="s">
        <v>2633</v>
      </c>
    </row>
    <row r="1067" spans="1:6" ht="15" customHeight="1">
      <c r="A1067" s="155">
        <v>24</v>
      </c>
      <c r="B1067" s="161" t="s">
        <v>2617</v>
      </c>
      <c r="C1067" s="162" t="s">
        <v>2634</v>
      </c>
      <c r="D1067" s="162" t="str">
        <f t="shared" si="17"/>
        <v>三重県木曽岬町</v>
      </c>
      <c r="E1067" s="161">
        <v>6</v>
      </c>
      <c r="F1067" s="157" t="s">
        <v>2635</v>
      </c>
    </row>
    <row r="1068" spans="1:6" ht="15" customHeight="1">
      <c r="A1068" s="155">
        <v>24</v>
      </c>
      <c r="B1068" s="161" t="s">
        <v>2617</v>
      </c>
      <c r="C1068" s="162" t="s">
        <v>2636</v>
      </c>
      <c r="D1068" s="162" t="str">
        <f t="shared" si="17"/>
        <v>三重県紀宝町</v>
      </c>
      <c r="E1068" s="161">
        <v>7</v>
      </c>
      <c r="F1068" s="157" t="s">
        <v>2637</v>
      </c>
    </row>
    <row r="1069" spans="1:6" ht="15" customHeight="1">
      <c r="A1069" s="155">
        <v>24</v>
      </c>
      <c r="B1069" s="161" t="s">
        <v>2617</v>
      </c>
      <c r="C1069" s="162" t="s">
        <v>2638</v>
      </c>
      <c r="D1069" s="162" t="str">
        <f t="shared" si="17"/>
        <v>三重県紀北町</v>
      </c>
      <c r="E1069" s="161">
        <v>6</v>
      </c>
      <c r="F1069" s="157" t="s">
        <v>2639</v>
      </c>
    </row>
    <row r="1070" spans="1:6" ht="15" customHeight="1">
      <c r="A1070" s="155">
        <v>24</v>
      </c>
      <c r="B1070" s="161" t="s">
        <v>2617</v>
      </c>
      <c r="C1070" s="162" t="s">
        <v>2640</v>
      </c>
      <c r="D1070" s="162" t="str">
        <f t="shared" si="17"/>
        <v>三重県熊野市</v>
      </c>
      <c r="E1070" s="161">
        <v>7</v>
      </c>
      <c r="F1070" s="157" t="s">
        <v>2641</v>
      </c>
    </row>
    <row r="1071" spans="1:6" ht="15" customHeight="1">
      <c r="A1071" s="155">
        <v>24</v>
      </c>
      <c r="B1071" s="161" t="s">
        <v>2617</v>
      </c>
      <c r="C1071" s="162" t="s">
        <v>2642</v>
      </c>
      <c r="D1071" s="162" t="str">
        <f t="shared" si="17"/>
        <v>三重県桑名市</v>
      </c>
      <c r="E1071" s="161">
        <v>6</v>
      </c>
      <c r="F1071" s="157" t="s">
        <v>2643</v>
      </c>
    </row>
    <row r="1072" spans="1:6" ht="15" customHeight="1">
      <c r="A1072" s="155">
        <v>24</v>
      </c>
      <c r="B1072" s="161" t="s">
        <v>2617</v>
      </c>
      <c r="C1072" s="162" t="s">
        <v>2644</v>
      </c>
      <c r="D1072" s="162" t="str">
        <f t="shared" si="17"/>
        <v>三重県菰野町</v>
      </c>
      <c r="E1072" s="161">
        <v>6</v>
      </c>
      <c r="F1072" s="157" t="s">
        <v>2645</v>
      </c>
    </row>
    <row r="1073" spans="1:6" ht="15" customHeight="1">
      <c r="A1073" s="155">
        <v>24</v>
      </c>
      <c r="B1073" s="161" t="s">
        <v>2617</v>
      </c>
      <c r="C1073" s="162" t="s">
        <v>2646</v>
      </c>
      <c r="D1073" s="162" t="str">
        <f t="shared" si="17"/>
        <v>三重県志摩市</v>
      </c>
      <c r="E1073" s="161">
        <v>6</v>
      </c>
      <c r="F1073" s="157" t="s">
        <v>2647</v>
      </c>
    </row>
    <row r="1074" spans="1:6" ht="15" customHeight="1">
      <c r="A1074" s="155">
        <v>24</v>
      </c>
      <c r="B1074" s="161" t="s">
        <v>2617</v>
      </c>
      <c r="C1074" s="162" t="s">
        <v>2648</v>
      </c>
      <c r="D1074" s="162" t="str">
        <f t="shared" si="17"/>
        <v>三重県鈴鹿市</v>
      </c>
      <c r="E1074" s="161">
        <v>6</v>
      </c>
      <c r="F1074" s="157" t="s">
        <v>2649</v>
      </c>
    </row>
    <row r="1075" spans="1:6" ht="15" customHeight="1">
      <c r="A1075" s="155">
        <v>24</v>
      </c>
      <c r="B1075" s="161" t="s">
        <v>2617</v>
      </c>
      <c r="C1075" s="162" t="s">
        <v>2650</v>
      </c>
      <c r="D1075" s="162" t="str">
        <f t="shared" si="17"/>
        <v>三重県大紀町</v>
      </c>
      <c r="E1075" s="161">
        <v>6</v>
      </c>
      <c r="F1075" s="157" t="s">
        <v>2651</v>
      </c>
    </row>
    <row r="1076" spans="1:6" ht="15" customHeight="1">
      <c r="A1076" s="155">
        <v>24</v>
      </c>
      <c r="B1076" s="161" t="s">
        <v>2617</v>
      </c>
      <c r="C1076" s="162" t="s">
        <v>2652</v>
      </c>
      <c r="D1076" s="162" t="str">
        <f t="shared" si="17"/>
        <v>三重県多気町</v>
      </c>
      <c r="E1076" s="161">
        <v>6</v>
      </c>
      <c r="F1076" s="157" t="s">
        <v>2653</v>
      </c>
    </row>
    <row r="1077" spans="1:6" ht="15" customHeight="1">
      <c r="A1077" s="155">
        <v>24</v>
      </c>
      <c r="B1077" s="161" t="s">
        <v>2617</v>
      </c>
      <c r="C1077" s="162" t="s">
        <v>2654</v>
      </c>
      <c r="D1077" s="162" t="str">
        <f t="shared" si="17"/>
        <v>三重県玉城町</v>
      </c>
      <c r="E1077" s="161">
        <v>6</v>
      </c>
      <c r="F1077" s="157" t="s">
        <v>2655</v>
      </c>
    </row>
    <row r="1078" spans="1:6" ht="15" customHeight="1">
      <c r="A1078" s="155">
        <v>24</v>
      </c>
      <c r="B1078" s="161" t="s">
        <v>2617</v>
      </c>
      <c r="C1078" s="162" t="s">
        <v>2656</v>
      </c>
      <c r="D1078" s="162" t="str">
        <f t="shared" si="17"/>
        <v>三重県津市(旧津市、旧久居市、旧河芸町、旧芸濃町、旧美里村、旧安濃町、旧香良洲町、旧一志町、旧白山町に限る。)</v>
      </c>
      <c r="E1078" s="161">
        <v>6</v>
      </c>
      <c r="F1078" s="157" t="s">
        <v>2657</v>
      </c>
    </row>
    <row r="1079" spans="1:6" ht="15" customHeight="1">
      <c r="A1079" s="155">
        <v>24</v>
      </c>
      <c r="B1079" s="161" t="s">
        <v>2617</v>
      </c>
      <c r="C1079" s="162" t="s">
        <v>2658</v>
      </c>
      <c r="D1079" s="162" t="str">
        <f t="shared" si="17"/>
        <v>三重県津市(旧美杉村に限る。)</v>
      </c>
      <c r="E1079" s="161">
        <v>5</v>
      </c>
      <c r="F1079" s="157" t="s">
        <v>2659</v>
      </c>
    </row>
    <row r="1080" spans="1:6" ht="15" customHeight="1">
      <c r="A1080" s="155">
        <v>24</v>
      </c>
      <c r="B1080" s="161" t="s">
        <v>2617</v>
      </c>
      <c r="C1080" s="162" t="s">
        <v>2660</v>
      </c>
      <c r="D1080" s="162" t="str">
        <f t="shared" si="17"/>
        <v>三重県東員町</v>
      </c>
      <c r="E1080" s="161">
        <v>6</v>
      </c>
      <c r="F1080" s="157" t="s">
        <v>2661</v>
      </c>
    </row>
    <row r="1081" spans="1:6" ht="15" customHeight="1">
      <c r="A1081" s="155">
        <v>24</v>
      </c>
      <c r="B1081" s="161" t="s">
        <v>2617</v>
      </c>
      <c r="C1081" s="162" t="s">
        <v>2662</v>
      </c>
      <c r="D1081" s="162" t="str">
        <f t="shared" si="17"/>
        <v>三重県鳥羽市</v>
      </c>
      <c r="E1081" s="161">
        <v>6</v>
      </c>
      <c r="F1081" s="157" t="s">
        <v>2663</v>
      </c>
    </row>
    <row r="1082" spans="1:6" ht="15" customHeight="1">
      <c r="A1082" s="155">
        <v>24</v>
      </c>
      <c r="B1082" s="161" t="s">
        <v>2617</v>
      </c>
      <c r="C1082" s="162" t="s">
        <v>2664</v>
      </c>
      <c r="D1082" s="162" t="str">
        <f t="shared" si="17"/>
        <v>三重県名張市</v>
      </c>
      <c r="E1082" s="161">
        <v>5</v>
      </c>
      <c r="F1082" s="157" t="s">
        <v>2665</v>
      </c>
    </row>
    <row r="1083" spans="1:6" ht="15" customHeight="1">
      <c r="A1083" s="155">
        <v>24</v>
      </c>
      <c r="B1083" s="161" t="s">
        <v>2617</v>
      </c>
      <c r="C1083" s="162" t="s">
        <v>2666</v>
      </c>
      <c r="D1083" s="162" t="str">
        <f t="shared" si="17"/>
        <v>三重県松阪市</v>
      </c>
      <c r="E1083" s="161">
        <v>6</v>
      </c>
      <c r="F1083" s="157" t="s">
        <v>2667</v>
      </c>
    </row>
    <row r="1084" spans="1:6" ht="15" customHeight="1">
      <c r="A1084" s="155">
        <v>24</v>
      </c>
      <c r="B1084" s="161" t="s">
        <v>2617</v>
      </c>
      <c r="C1084" s="162" t="s">
        <v>2668</v>
      </c>
      <c r="D1084" s="162" t="str">
        <f t="shared" si="17"/>
        <v>三重県南伊勢町</v>
      </c>
      <c r="E1084" s="161">
        <v>6</v>
      </c>
      <c r="F1084" s="157" t="s">
        <v>2669</v>
      </c>
    </row>
    <row r="1085" spans="1:6" ht="15" customHeight="1">
      <c r="A1085" s="155">
        <v>24</v>
      </c>
      <c r="B1085" s="161" t="s">
        <v>2617</v>
      </c>
      <c r="C1085" s="162" t="s">
        <v>2670</v>
      </c>
      <c r="D1085" s="162" t="str">
        <f t="shared" si="17"/>
        <v>三重県御浜町</v>
      </c>
      <c r="E1085" s="161">
        <v>7</v>
      </c>
      <c r="F1085" s="157" t="s">
        <v>2121</v>
      </c>
    </row>
    <row r="1086" spans="1:6" ht="15" customHeight="1">
      <c r="A1086" s="155">
        <v>24</v>
      </c>
      <c r="B1086" s="161" t="s">
        <v>2617</v>
      </c>
      <c r="C1086" s="162" t="s">
        <v>1571</v>
      </c>
      <c r="D1086" s="162" t="str">
        <f t="shared" si="17"/>
        <v>三重県明和町</v>
      </c>
      <c r="E1086" s="161">
        <v>6</v>
      </c>
      <c r="F1086" s="157" t="s">
        <v>1572</v>
      </c>
    </row>
    <row r="1087" spans="1:6" ht="15" customHeight="1">
      <c r="A1087" s="155">
        <v>24</v>
      </c>
      <c r="B1087" s="161" t="s">
        <v>2617</v>
      </c>
      <c r="C1087" s="162" t="s">
        <v>2671</v>
      </c>
      <c r="D1087" s="162" t="str">
        <f t="shared" si="17"/>
        <v>三重県四日市市</v>
      </c>
      <c r="E1087" s="161">
        <v>6</v>
      </c>
      <c r="F1087" s="157" t="s">
        <v>2672</v>
      </c>
    </row>
    <row r="1088" spans="1:6" ht="15" customHeight="1">
      <c r="A1088" s="155">
        <v>24</v>
      </c>
      <c r="B1088" s="161" t="s">
        <v>2617</v>
      </c>
      <c r="C1088" s="162" t="s">
        <v>2673</v>
      </c>
      <c r="D1088" s="162" t="str">
        <f t="shared" si="17"/>
        <v>三重県度会町</v>
      </c>
      <c r="E1088" s="161">
        <v>6</v>
      </c>
      <c r="F1088" s="157" t="s">
        <v>2674</v>
      </c>
    </row>
    <row r="1089" spans="1:6" ht="15" customHeight="1">
      <c r="A1089" s="155">
        <v>25</v>
      </c>
      <c r="B1089" s="161" t="s">
        <v>2675</v>
      </c>
      <c r="C1089" s="162" t="s">
        <v>2676</v>
      </c>
      <c r="D1089" s="162" t="str">
        <f t="shared" si="17"/>
        <v>滋賀県愛荘町</v>
      </c>
      <c r="E1089" s="161">
        <v>5</v>
      </c>
      <c r="F1089" s="157" t="s">
        <v>2677</v>
      </c>
    </row>
    <row r="1090" spans="1:6" ht="15" customHeight="1">
      <c r="A1090" s="155">
        <v>25</v>
      </c>
      <c r="B1090" s="161" t="s">
        <v>2675</v>
      </c>
      <c r="C1090" s="162" t="s">
        <v>2678</v>
      </c>
      <c r="D1090" s="162" t="str">
        <f t="shared" si="17"/>
        <v>滋賀県近江八幡市</v>
      </c>
      <c r="E1090" s="161">
        <v>6</v>
      </c>
      <c r="F1090" s="157" t="s">
        <v>2679</v>
      </c>
    </row>
    <row r="1091" spans="1:6" ht="15" customHeight="1">
      <c r="A1091" s="155">
        <v>25</v>
      </c>
      <c r="B1091" s="161" t="s">
        <v>2675</v>
      </c>
      <c r="C1091" s="162" t="s">
        <v>2680</v>
      </c>
      <c r="D1091" s="162" t="str">
        <f t="shared" si="17"/>
        <v>滋賀県大津市</v>
      </c>
      <c r="E1091" s="161">
        <v>5</v>
      </c>
      <c r="F1091" s="157" t="s">
        <v>2681</v>
      </c>
    </row>
    <row r="1092" spans="1:6" ht="15" customHeight="1">
      <c r="A1092" s="155">
        <v>25</v>
      </c>
      <c r="B1092" s="161" t="s">
        <v>2675</v>
      </c>
      <c r="C1092" s="162" t="s">
        <v>2682</v>
      </c>
      <c r="D1092" s="162" t="str">
        <f t="shared" ref="D1092:D1155" si="18">B1092&amp;C1092</f>
        <v>滋賀県草津市</v>
      </c>
      <c r="E1092" s="161">
        <v>6</v>
      </c>
      <c r="F1092" s="157" t="s">
        <v>2683</v>
      </c>
    </row>
    <row r="1093" spans="1:6" ht="15" customHeight="1">
      <c r="A1093" s="155">
        <v>25</v>
      </c>
      <c r="B1093" s="161" t="s">
        <v>2675</v>
      </c>
      <c r="C1093" s="162" t="s">
        <v>2684</v>
      </c>
      <c r="D1093" s="162" t="str">
        <f t="shared" si="18"/>
        <v>滋賀県甲賀市</v>
      </c>
      <c r="E1093" s="161">
        <v>5</v>
      </c>
      <c r="F1093" s="157" t="s">
        <v>2685</v>
      </c>
    </row>
    <row r="1094" spans="1:6" ht="15" customHeight="1">
      <c r="A1094" s="155">
        <v>25</v>
      </c>
      <c r="B1094" s="161" t="s">
        <v>2675</v>
      </c>
      <c r="C1094" s="162" t="s">
        <v>2686</v>
      </c>
      <c r="D1094" s="162" t="str">
        <f t="shared" si="18"/>
        <v>滋賀県甲良町</v>
      </c>
      <c r="E1094" s="161">
        <v>5</v>
      </c>
      <c r="F1094" s="157" t="s">
        <v>2687</v>
      </c>
    </row>
    <row r="1095" spans="1:6" ht="15" customHeight="1">
      <c r="A1095" s="155">
        <v>25</v>
      </c>
      <c r="B1095" s="161" t="s">
        <v>2675</v>
      </c>
      <c r="C1095" s="162" t="s">
        <v>2688</v>
      </c>
      <c r="D1095" s="162" t="str">
        <f t="shared" si="18"/>
        <v>滋賀県湖南市</v>
      </c>
      <c r="E1095" s="161">
        <v>5</v>
      </c>
      <c r="F1095" s="157" t="s">
        <v>2689</v>
      </c>
    </row>
    <row r="1096" spans="1:6" ht="15" customHeight="1">
      <c r="A1096" s="155">
        <v>25</v>
      </c>
      <c r="B1096" s="161" t="s">
        <v>2675</v>
      </c>
      <c r="C1096" s="162" t="s">
        <v>2690</v>
      </c>
      <c r="D1096" s="162" t="str">
        <f t="shared" si="18"/>
        <v>滋賀県高島市</v>
      </c>
      <c r="E1096" s="161">
        <v>5</v>
      </c>
      <c r="F1096" s="157" t="s">
        <v>2691</v>
      </c>
    </row>
    <row r="1097" spans="1:6" ht="15" customHeight="1">
      <c r="A1097" s="155">
        <v>25</v>
      </c>
      <c r="B1097" s="161" t="s">
        <v>2675</v>
      </c>
      <c r="C1097" s="162" t="s">
        <v>2692</v>
      </c>
      <c r="D1097" s="162" t="str">
        <f t="shared" si="18"/>
        <v>滋賀県多賀町</v>
      </c>
      <c r="E1097" s="161">
        <v>5</v>
      </c>
      <c r="F1097" s="157" t="s">
        <v>2693</v>
      </c>
    </row>
    <row r="1098" spans="1:6" ht="15" customHeight="1">
      <c r="A1098" s="155">
        <v>25</v>
      </c>
      <c r="B1098" s="161" t="s">
        <v>2675</v>
      </c>
      <c r="C1098" s="162" t="s">
        <v>2694</v>
      </c>
      <c r="D1098" s="162" t="str">
        <f t="shared" si="18"/>
        <v>滋賀県豊郷町</v>
      </c>
      <c r="E1098" s="161">
        <v>5</v>
      </c>
      <c r="F1098" s="157" t="s">
        <v>2695</v>
      </c>
    </row>
    <row r="1099" spans="1:6" ht="15" customHeight="1">
      <c r="A1099" s="155">
        <v>25</v>
      </c>
      <c r="B1099" s="161" t="s">
        <v>2675</v>
      </c>
      <c r="C1099" s="162" t="s">
        <v>2696</v>
      </c>
      <c r="D1099" s="162" t="str">
        <f t="shared" si="18"/>
        <v>滋賀県長浜市</v>
      </c>
      <c r="E1099" s="161">
        <v>5</v>
      </c>
      <c r="F1099" s="157" t="s">
        <v>2697</v>
      </c>
    </row>
    <row r="1100" spans="1:6" ht="15" customHeight="1">
      <c r="A1100" s="155">
        <v>25</v>
      </c>
      <c r="B1100" s="161" t="s">
        <v>2675</v>
      </c>
      <c r="C1100" s="162" t="s">
        <v>2698</v>
      </c>
      <c r="D1100" s="162" t="str">
        <f t="shared" si="18"/>
        <v>滋賀県東近江市</v>
      </c>
      <c r="E1100" s="161">
        <v>5</v>
      </c>
      <c r="F1100" s="157" t="s">
        <v>2699</v>
      </c>
    </row>
    <row r="1101" spans="1:6" ht="15" customHeight="1">
      <c r="A1101" s="155">
        <v>25</v>
      </c>
      <c r="B1101" s="161" t="s">
        <v>2675</v>
      </c>
      <c r="C1101" s="162" t="s">
        <v>2700</v>
      </c>
      <c r="D1101" s="162" t="str">
        <f t="shared" si="18"/>
        <v>滋賀県彦根市</v>
      </c>
      <c r="E1101" s="161">
        <v>5</v>
      </c>
      <c r="F1101" s="157" t="s">
        <v>2701</v>
      </c>
    </row>
    <row r="1102" spans="1:6" ht="15" customHeight="1">
      <c r="A1102" s="155">
        <v>25</v>
      </c>
      <c r="B1102" s="161" t="s">
        <v>2675</v>
      </c>
      <c r="C1102" s="162" t="s">
        <v>2702</v>
      </c>
      <c r="D1102" s="162" t="str">
        <f t="shared" si="18"/>
        <v>滋賀県日野町</v>
      </c>
      <c r="E1102" s="161">
        <v>5</v>
      </c>
      <c r="F1102" s="157" t="s">
        <v>2703</v>
      </c>
    </row>
    <row r="1103" spans="1:6" ht="15" customHeight="1">
      <c r="A1103" s="155">
        <v>25</v>
      </c>
      <c r="B1103" s="161" t="s">
        <v>2675</v>
      </c>
      <c r="C1103" s="162" t="s">
        <v>2704</v>
      </c>
      <c r="D1103" s="162" t="str">
        <f t="shared" si="18"/>
        <v>滋賀県米原市</v>
      </c>
      <c r="E1103" s="161">
        <v>5</v>
      </c>
      <c r="F1103" s="157" t="s">
        <v>2705</v>
      </c>
    </row>
    <row r="1104" spans="1:6" ht="15" customHeight="1">
      <c r="A1104" s="155">
        <v>25</v>
      </c>
      <c r="B1104" s="161" t="s">
        <v>2675</v>
      </c>
      <c r="C1104" s="162" t="s">
        <v>2706</v>
      </c>
      <c r="D1104" s="162" t="str">
        <f t="shared" si="18"/>
        <v>滋賀県守山市</v>
      </c>
      <c r="E1104" s="161">
        <v>6</v>
      </c>
      <c r="F1104" s="157" t="s">
        <v>2707</v>
      </c>
    </row>
    <row r="1105" spans="1:6" ht="15" customHeight="1">
      <c r="A1105" s="155">
        <v>25</v>
      </c>
      <c r="B1105" s="161" t="s">
        <v>2675</v>
      </c>
      <c r="C1105" s="162" t="s">
        <v>2708</v>
      </c>
      <c r="D1105" s="162" t="str">
        <f t="shared" si="18"/>
        <v>滋賀県野洲市</v>
      </c>
      <c r="E1105" s="161">
        <v>5</v>
      </c>
      <c r="F1105" s="157" t="s">
        <v>2709</v>
      </c>
    </row>
    <row r="1106" spans="1:6" ht="15" customHeight="1">
      <c r="A1106" s="155">
        <v>25</v>
      </c>
      <c r="B1106" s="161" t="s">
        <v>2675</v>
      </c>
      <c r="C1106" s="162" t="s">
        <v>2710</v>
      </c>
      <c r="D1106" s="162" t="str">
        <f t="shared" si="18"/>
        <v>滋賀県栗東市</v>
      </c>
      <c r="E1106" s="161">
        <v>5</v>
      </c>
      <c r="F1106" s="157" t="s">
        <v>2711</v>
      </c>
    </row>
    <row r="1107" spans="1:6" ht="15" customHeight="1">
      <c r="A1107" s="155">
        <v>25</v>
      </c>
      <c r="B1107" s="161" t="s">
        <v>2675</v>
      </c>
      <c r="C1107" s="162" t="s">
        <v>2712</v>
      </c>
      <c r="D1107" s="162" t="str">
        <f t="shared" si="18"/>
        <v>滋賀県竜王町</v>
      </c>
      <c r="E1107" s="161">
        <v>5</v>
      </c>
      <c r="F1107" s="157" t="s">
        <v>2713</v>
      </c>
    </row>
    <row r="1108" spans="1:6" ht="15" customHeight="1">
      <c r="A1108" s="155">
        <v>26</v>
      </c>
      <c r="B1108" s="161" t="s">
        <v>2714</v>
      </c>
      <c r="C1108" s="162" t="s">
        <v>2715</v>
      </c>
      <c r="D1108" s="162" t="str">
        <f t="shared" si="18"/>
        <v>京都府綾部市</v>
      </c>
      <c r="E1108" s="161">
        <v>5</v>
      </c>
      <c r="F1108" s="157" t="s">
        <v>2716</v>
      </c>
    </row>
    <row r="1109" spans="1:6" ht="15" customHeight="1">
      <c r="A1109" s="155">
        <v>26</v>
      </c>
      <c r="B1109" s="161" t="s">
        <v>2714</v>
      </c>
      <c r="C1109" s="162" t="s">
        <v>2717</v>
      </c>
      <c r="D1109" s="162" t="str">
        <f t="shared" si="18"/>
        <v>京都府井手町</v>
      </c>
      <c r="E1109" s="161">
        <v>6</v>
      </c>
      <c r="F1109" s="157" t="s">
        <v>2718</v>
      </c>
    </row>
    <row r="1110" spans="1:6" ht="15" customHeight="1">
      <c r="A1110" s="155">
        <v>26</v>
      </c>
      <c r="B1110" s="161" t="s">
        <v>2714</v>
      </c>
      <c r="C1110" s="162" t="s">
        <v>2719</v>
      </c>
      <c r="D1110" s="162" t="str">
        <f t="shared" si="18"/>
        <v>京都府伊根町</v>
      </c>
      <c r="E1110" s="161">
        <v>6</v>
      </c>
      <c r="F1110" s="157" t="s">
        <v>2720</v>
      </c>
    </row>
    <row r="1111" spans="1:6" ht="15" customHeight="1">
      <c r="A1111" s="155">
        <v>26</v>
      </c>
      <c r="B1111" s="161" t="s">
        <v>2714</v>
      </c>
      <c r="C1111" s="162" t="s">
        <v>2721</v>
      </c>
      <c r="D1111" s="162" t="str">
        <f t="shared" si="18"/>
        <v>京都府宇治市</v>
      </c>
      <c r="E1111" s="161">
        <v>6</v>
      </c>
      <c r="F1111" s="157" t="s">
        <v>2722</v>
      </c>
    </row>
    <row r="1112" spans="1:6" ht="15" customHeight="1">
      <c r="A1112" s="155">
        <v>26</v>
      </c>
      <c r="B1112" s="161" t="s">
        <v>2714</v>
      </c>
      <c r="C1112" s="162" t="s">
        <v>2723</v>
      </c>
      <c r="D1112" s="162" t="str">
        <f t="shared" si="18"/>
        <v>京都府宇治田原町</v>
      </c>
      <c r="E1112" s="161">
        <v>5</v>
      </c>
      <c r="F1112" s="157" t="s">
        <v>2724</v>
      </c>
    </row>
    <row r="1113" spans="1:6" ht="15" customHeight="1">
      <c r="A1113" s="155">
        <v>26</v>
      </c>
      <c r="B1113" s="161" t="s">
        <v>2714</v>
      </c>
      <c r="C1113" s="162" t="s">
        <v>2725</v>
      </c>
      <c r="D1113" s="162" t="str">
        <f t="shared" si="18"/>
        <v>京都府大山崎町</v>
      </c>
      <c r="E1113" s="161">
        <v>6</v>
      </c>
      <c r="F1113" s="157" t="s">
        <v>2726</v>
      </c>
    </row>
    <row r="1114" spans="1:6" ht="15" customHeight="1">
      <c r="A1114" s="155">
        <v>26</v>
      </c>
      <c r="B1114" s="161" t="s">
        <v>2714</v>
      </c>
      <c r="C1114" s="162" t="s">
        <v>2727</v>
      </c>
      <c r="D1114" s="162" t="str">
        <f t="shared" si="18"/>
        <v>京都府笠置町</v>
      </c>
      <c r="E1114" s="161">
        <v>5</v>
      </c>
      <c r="F1114" s="157" t="s">
        <v>2728</v>
      </c>
    </row>
    <row r="1115" spans="1:6" ht="15" customHeight="1">
      <c r="A1115" s="155">
        <v>26</v>
      </c>
      <c r="B1115" s="161" t="s">
        <v>2714</v>
      </c>
      <c r="C1115" s="162" t="s">
        <v>2729</v>
      </c>
      <c r="D1115" s="162" t="str">
        <f t="shared" si="18"/>
        <v>京都府亀岡市</v>
      </c>
      <c r="E1115" s="161">
        <v>5</v>
      </c>
      <c r="F1115" s="157" t="s">
        <v>2730</v>
      </c>
    </row>
    <row r="1116" spans="1:6" ht="15" customHeight="1">
      <c r="A1116" s="155">
        <v>26</v>
      </c>
      <c r="B1116" s="161" t="s">
        <v>2714</v>
      </c>
      <c r="C1116" s="162" t="s">
        <v>2731</v>
      </c>
      <c r="D1116" s="162" t="str">
        <f t="shared" si="18"/>
        <v>京都府木津川市</v>
      </c>
      <c r="E1116" s="161">
        <v>6</v>
      </c>
      <c r="F1116" s="157" t="s">
        <v>2732</v>
      </c>
    </row>
    <row r="1117" spans="1:6" ht="15" customHeight="1">
      <c r="A1117" s="155">
        <v>26</v>
      </c>
      <c r="B1117" s="161" t="s">
        <v>2714</v>
      </c>
      <c r="C1117" s="162" t="s">
        <v>2733</v>
      </c>
      <c r="D1117" s="162" t="str">
        <f t="shared" si="18"/>
        <v>京都府京田辺市</v>
      </c>
      <c r="E1117" s="161">
        <v>6</v>
      </c>
      <c r="F1117" s="157" t="s">
        <v>2734</v>
      </c>
    </row>
    <row r="1118" spans="1:6" ht="15" customHeight="1">
      <c r="A1118" s="155">
        <v>26</v>
      </c>
      <c r="B1118" s="161" t="s">
        <v>2714</v>
      </c>
      <c r="C1118" s="162" t="s">
        <v>2735</v>
      </c>
      <c r="D1118" s="162" t="str">
        <f t="shared" si="18"/>
        <v>京都府京丹後市</v>
      </c>
      <c r="E1118" s="161">
        <v>5</v>
      </c>
      <c r="F1118" s="157" t="s">
        <v>2736</v>
      </c>
    </row>
    <row r="1119" spans="1:6" ht="15" customHeight="1">
      <c r="A1119" s="155">
        <v>26</v>
      </c>
      <c r="B1119" s="161" t="s">
        <v>2714</v>
      </c>
      <c r="C1119" s="162" t="s">
        <v>2737</v>
      </c>
      <c r="D1119" s="162" t="str">
        <f t="shared" si="18"/>
        <v>京都府京丹波町</v>
      </c>
      <c r="E1119" s="161">
        <v>5</v>
      </c>
      <c r="F1119" s="157" t="s">
        <v>2738</v>
      </c>
    </row>
    <row r="1120" spans="1:6" ht="15" customHeight="1">
      <c r="A1120" s="155">
        <v>26</v>
      </c>
      <c r="B1120" s="161" t="s">
        <v>2714</v>
      </c>
      <c r="C1120" s="162" t="s">
        <v>2739</v>
      </c>
      <c r="D1120" s="162" t="str">
        <f t="shared" si="18"/>
        <v>京都府京都市</v>
      </c>
      <c r="E1120" s="161">
        <v>6</v>
      </c>
      <c r="F1120" s="157" t="s">
        <v>2740</v>
      </c>
    </row>
    <row r="1121" spans="1:6" ht="15" customHeight="1">
      <c r="A1121" s="155">
        <v>26</v>
      </c>
      <c r="B1121" s="161" t="s">
        <v>2714</v>
      </c>
      <c r="C1121" s="162" t="s">
        <v>2741</v>
      </c>
      <c r="D1121" s="162" t="str">
        <f t="shared" si="18"/>
        <v>京都府久御山町</v>
      </c>
      <c r="E1121" s="161">
        <v>6</v>
      </c>
      <c r="F1121" s="157" t="s">
        <v>2742</v>
      </c>
    </row>
    <row r="1122" spans="1:6" ht="15" customHeight="1">
      <c r="A1122" s="155">
        <v>26</v>
      </c>
      <c r="B1122" s="161" t="s">
        <v>2714</v>
      </c>
      <c r="C1122" s="162" t="s">
        <v>2743</v>
      </c>
      <c r="D1122" s="162" t="str">
        <f t="shared" si="18"/>
        <v>京都府城陽市</v>
      </c>
      <c r="E1122" s="161">
        <v>6</v>
      </c>
      <c r="F1122" s="157" t="s">
        <v>2744</v>
      </c>
    </row>
    <row r="1123" spans="1:6" ht="15" customHeight="1">
      <c r="A1123" s="155">
        <v>26</v>
      </c>
      <c r="B1123" s="161" t="s">
        <v>2714</v>
      </c>
      <c r="C1123" s="162" t="s">
        <v>2745</v>
      </c>
      <c r="D1123" s="162" t="str">
        <f t="shared" si="18"/>
        <v>京都府精華町</v>
      </c>
      <c r="E1123" s="161">
        <v>6</v>
      </c>
      <c r="F1123" s="157" t="s">
        <v>2746</v>
      </c>
    </row>
    <row r="1124" spans="1:6" ht="15" customHeight="1">
      <c r="A1124" s="155">
        <v>26</v>
      </c>
      <c r="B1124" s="161" t="s">
        <v>2714</v>
      </c>
      <c r="C1124" s="162" t="s">
        <v>2747</v>
      </c>
      <c r="D1124" s="162" t="str">
        <f t="shared" si="18"/>
        <v>京都府長岡京市</v>
      </c>
      <c r="E1124" s="161">
        <v>6</v>
      </c>
      <c r="F1124" s="157" t="s">
        <v>2748</v>
      </c>
    </row>
    <row r="1125" spans="1:6" ht="15" customHeight="1">
      <c r="A1125" s="155">
        <v>26</v>
      </c>
      <c r="B1125" s="161" t="s">
        <v>2714</v>
      </c>
      <c r="C1125" s="162" t="s">
        <v>2749</v>
      </c>
      <c r="D1125" s="162" t="str">
        <f t="shared" si="18"/>
        <v>京都府南丹市</v>
      </c>
      <c r="E1125" s="161">
        <v>5</v>
      </c>
      <c r="F1125" s="157" t="s">
        <v>2750</v>
      </c>
    </row>
    <row r="1126" spans="1:6" ht="15" customHeight="1">
      <c r="A1126" s="155">
        <v>26</v>
      </c>
      <c r="B1126" s="161" t="s">
        <v>2714</v>
      </c>
      <c r="C1126" s="162" t="s">
        <v>2751</v>
      </c>
      <c r="D1126" s="162" t="str">
        <f t="shared" si="18"/>
        <v>京都府福知山市</v>
      </c>
      <c r="E1126" s="161">
        <v>5</v>
      </c>
      <c r="F1126" s="157" t="s">
        <v>2752</v>
      </c>
    </row>
    <row r="1127" spans="1:6" ht="15" customHeight="1">
      <c r="A1127" s="155">
        <v>26</v>
      </c>
      <c r="B1127" s="161" t="s">
        <v>2714</v>
      </c>
      <c r="C1127" s="162" t="s">
        <v>2753</v>
      </c>
      <c r="D1127" s="162" t="str">
        <f t="shared" si="18"/>
        <v>京都府舞鶴市</v>
      </c>
      <c r="E1127" s="161">
        <v>6</v>
      </c>
      <c r="F1127" s="157" t="s">
        <v>2754</v>
      </c>
    </row>
    <row r="1128" spans="1:6" ht="15" customHeight="1">
      <c r="A1128" s="155">
        <v>26</v>
      </c>
      <c r="B1128" s="161" t="s">
        <v>2714</v>
      </c>
      <c r="C1128" s="162" t="s">
        <v>2755</v>
      </c>
      <c r="D1128" s="162" t="str">
        <f t="shared" si="18"/>
        <v>京都府南山城村</v>
      </c>
      <c r="E1128" s="161">
        <v>5</v>
      </c>
      <c r="F1128" s="157" t="s">
        <v>2756</v>
      </c>
    </row>
    <row r="1129" spans="1:6" ht="15" customHeight="1">
      <c r="A1129" s="155">
        <v>26</v>
      </c>
      <c r="B1129" s="161" t="s">
        <v>2714</v>
      </c>
      <c r="C1129" s="162" t="s">
        <v>2757</v>
      </c>
      <c r="D1129" s="162" t="str">
        <f t="shared" si="18"/>
        <v>京都府宮津市</v>
      </c>
      <c r="E1129" s="161">
        <v>5</v>
      </c>
      <c r="F1129" s="157" t="s">
        <v>2758</v>
      </c>
    </row>
    <row r="1130" spans="1:6" ht="15" customHeight="1">
      <c r="A1130" s="155">
        <v>26</v>
      </c>
      <c r="B1130" s="161" t="s">
        <v>2714</v>
      </c>
      <c r="C1130" s="162" t="s">
        <v>2759</v>
      </c>
      <c r="D1130" s="162" t="str">
        <f t="shared" si="18"/>
        <v>京都府向日市</v>
      </c>
      <c r="E1130" s="161">
        <v>6</v>
      </c>
      <c r="F1130" s="157" t="s">
        <v>2760</v>
      </c>
    </row>
    <row r="1131" spans="1:6" ht="15" customHeight="1">
      <c r="A1131" s="155">
        <v>26</v>
      </c>
      <c r="B1131" s="161" t="s">
        <v>2714</v>
      </c>
      <c r="C1131" s="162" t="s">
        <v>2761</v>
      </c>
      <c r="D1131" s="162" t="str">
        <f t="shared" si="18"/>
        <v>京都府八幡市</v>
      </c>
      <c r="E1131" s="161">
        <v>6</v>
      </c>
      <c r="F1131" s="157" t="s">
        <v>2762</v>
      </c>
    </row>
    <row r="1132" spans="1:6" ht="15" customHeight="1">
      <c r="A1132" s="155">
        <v>26</v>
      </c>
      <c r="B1132" s="161" t="s">
        <v>2714</v>
      </c>
      <c r="C1132" s="162" t="s">
        <v>2763</v>
      </c>
      <c r="D1132" s="162" t="str">
        <f t="shared" si="18"/>
        <v>京都府与謝野町</v>
      </c>
      <c r="E1132" s="161">
        <v>5</v>
      </c>
      <c r="F1132" s="157" t="s">
        <v>2764</v>
      </c>
    </row>
    <row r="1133" spans="1:6" ht="15" customHeight="1">
      <c r="A1133" s="155">
        <v>26</v>
      </c>
      <c r="B1133" s="161" t="s">
        <v>2714</v>
      </c>
      <c r="C1133" s="162" t="s">
        <v>2765</v>
      </c>
      <c r="D1133" s="162" t="str">
        <f t="shared" si="18"/>
        <v>京都府和束町</v>
      </c>
      <c r="E1133" s="161">
        <v>5</v>
      </c>
      <c r="F1133" s="157" t="s">
        <v>2766</v>
      </c>
    </row>
    <row r="1134" spans="1:6" ht="15" customHeight="1">
      <c r="A1134" s="155">
        <v>27</v>
      </c>
      <c r="B1134" s="161" t="s">
        <v>2767</v>
      </c>
      <c r="C1134" s="162" t="s">
        <v>2768</v>
      </c>
      <c r="D1134" s="162" t="str">
        <f t="shared" si="18"/>
        <v>大阪府池田市</v>
      </c>
      <c r="E1134" s="161">
        <v>6</v>
      </c>
      <c r="F1134" s="157" t="s">
        <v>2769</v>
      </c>
    </row>
    <row r="1135" spans="1:6" ht="15" customHeight="1">
      <c r="A1135" s="155">
        <v>27</v>
      </c>
      <c r="B1135" s="161" t="s">
        <v>2767</v>
      </c>
      <c r="C1135" s="162" t="s">
        <v>2770</v>
      </c>
      <c r="D1135" s="162" t="str">
        <f t="shared" si="18"/>
        <v>大阪府泉大津市</v>
      </c>
      <c r="E1135" s="161">
        <v>6</v>
      </c>
      <c r="F1135" s="157" t="s">
        <v>2771</v>
      </c>
    </row>
    <row r="1136" spans="1:6" ht="15" customHeight="1">
      <c r="A1136" s="155">
        <v>27</v>
      </c>
      <c r="B1136" s="161" t="s">
        <v>2767</v>
      </c>
      <c r="C1136" s="162" t="s">
        <v>2772</v>
      </c>
      <c r="D1136" s="162" t="str">
        <f t="shared" si="18"/>
        <v>大阪府泉佐野市</v>
      </c>
      <c r="E1136" s="161">
        <v>6</v>
      </c>
      <c r="F1136" s="157" t="s">
        <v>2773</v>
      </c>
    </row>
    <row r="1137" spans="1:6" ht="15" customHeight="1">
      <c r="A1137" s="155">
        <v>27</v>
      </c>
      <c r="B1137" s="161" t="s">
        <v>2767</v>
      </c>
      <c r="C1137" s="162" t="s">
        <v>2774</v>
      </c>
      <c r="D1137" s="162" t="str">
        <f t="shared" si="18"/>
        <v>大阪府和泉市</v>
      </c>
      <c r="E1137" s="161">
        <v>6</v>
      </c>
      <c r="F1137" s="157" t="s">
        <v>2775</v>
      </c>
    </row>
    <row r="1138" spans="1:6" ht="15" customHeight="1">
      <c r="A1138" s="155">
        <v>27</v>
      </c>
      <c r="B1138" s="161" t="s">
        <v>2767</v>
      </c>
      <c r="C1138" s="162" t="s">
        <v>2776</v>
      </c>
      <c r="D1138" s="162" t="str">
        <f t="shared" si="18"/>
        <v>大阪府茨木市</v>
      </c>
      <c r="E1138" s="161">
        <v>6</v>
      </c>
      <c r="F1138" s="157" t="s">
        <v>2777</v>
      </c>
    </row>
    <row r="1139" spans="1:6" ht="15" customHeight="1">
      <c r="A1139" s="155">
        <v>27</v>
      </c>
      <c r="B1139" s="161" t="s">
        <v>2767</v>
      </c>
      <c r="C1139" s="162" t="s">
        <v>2778</v>
      </c>
      <c r="D1139" s="162" t="str">
        <f t="shared" si="18"/>
        <v>大阪府大阪狭山市</v>
      </c>
      <c r="E1139" s="161">
        <v>6</v>
      </c>
      <c r="F1139" s="157" t="s">
        <v>2779</v>
      </c>
    </row>
    <row r="1140" spans="1:6" ht="15" customHeight="1">
      <c r="A1140" s="155">
        <v>27</v>
      </c>
      <c r="B1140" s="161" t="s">
        <v>2767</v>
      </c>
      <c r="C1140" s="162" t="s">
        <v>2780</v>
      </c>
      <c r="D1140" s="162" t="str">
        <f t="shared" si="18"/>
        <v>大阪府大阪市</v>
      </c>
      <c r="E1140" s="161">
        <v>6</v>
      </c>
      <c r="F1140" s="157" t="s">
        <v>2781</v>
      </c>
    </row>
    <row r="1141" spans="1:6" ht="15" customHeight="1">
      <c r="A1141" s="155">
        <v>27</v>
      </c>
      <c r="B1141" s="161" t="s">
        <v>2767</v>
      </c>
      <c r="C1141" s="162" t="s">
        <v>2782</v>
      </c>
      <c r="D1141" s="162" t="str">
        <f t="shared" si="18"/>
        <v>大阪府貝塚市</v>
      </c>
      <c r="E1141" s="161">
        <v>6</v>
      </c>
      <c r="F1141" s="157" t="s">
        <v>2783</v>
      </c>
    </row>
    <row r="1142" spans="1:6" ht="15" customHeight="1">
      <c r="A1142" s="155">
        <v>27</v>
      </c>
      <c r="B1142" s="161" t="s">
        <v>2767</v>
      </c>
      <c r="C1142" s="162" t="s">
        <v>2784</v>
      </c>
      <c r="D1142" s="162" t="str">
        <f t="shared" si="18"/>
        <v>大阪府柏原市</v>
      </c>
      <c r="E1142" s="161">
        <v>6</v>
      </c>
      <c r="F1142" s="157" t="s">
        <v>2785</v>
      </c>
    </row>
    <row r="1143" spans="1:6" ht="15" customHeight="1">
      <c r="A1143" s="155">
        <v>27</v>
      </c>
      <c r="B1143" s="161" t="s">
        <v>2767</v>
      </c>
      <c r="C1143" s="162" t="s">
        <v>2786</v>
      </c>
      <c r="D1143" s="162" t="str">
        <f t="shared" si="18"/>
        <v>大阪府交野市</v>
      </c>
      <c r="E1143" s="161">
        <v>6</v>
      </c>
      <c r="F1143" s="157" t="s">
        <v>2787</v>
      </c>
    </row>
    <row r="1144" spans="1:6" ht="15" customHeight="1">
      <c r="A1144" s="155">
        <v>27</v>
      </c>
      <c r="B1144" s="161" t="s">
        <v>2767</v>
      </c>
      <c r="C1144" s="162" t="s">
        <v>2788</v>
      </c>
      <c r="D1144" s="162" t="str">
        <f t="shared" si="18"/>
        <v>大阪府門真市</v>
      </c>
      <c r="E1144" s="161">
        <v>6</v>
      </c>
      <c r="F1144" s="157" t="s">
        <v>2789</v>
      </c>
    </row>
    <row r="1145" spans="1:6" ht="15" customHeight="1">
      <c r="A1145" s="155">
        <v>27</v>
      </c>
      <c r="B1145" s="161" t="s">
        <v>2767</v>
      </c>
      <c r="C1145" s="162" t="s">
        <v>2790</v>
      </c>
      <c r="D1145" s="162" t="str">
        <f t="shared" si="18"/>
        <v>大阪府河南町</v>
      </c>
      <c r="E1145" s="161">
        <v>6</v>
      </c>
      <c r="F1145" s="157" t="s">
        <v>2791</v>
      </c>
    </row>
    <row r="1146" spans="1:6" ht="15" customHeight="1">
      <c r="A1146" s="155">
        <v>27</v>
      </c>
      <c r="B1146" s="161" t="s">
        <v>2767</v>
      </c>
      <c r="C1146" s="162" t="s">
        <v>2792</v>
      </c>
      <c r="D1146" s="162" t="str">
        <f t="shared" si="18"/>
        <v>大阪府河内長野市</v>
      </c>
      <c r="E1146" s="161">
        <v>6</v>
      </c>
      <c r="F1146" s="157" t="s">
        <v>2793</v>
      </c>
    </row>
    <row r="1147" spans="1:6" ht="15" customHeight="1">
      <c r="A1147" s="155">
        <v>27</v>
      </c>
      <c r="B1147" s="161" t="s">
        <v>2767</v>
      </c>
      <c r="C1147" s="162" t="s">
        <v>2794</v>
      </c>
      <c r="D1147" s="162" t="str">
        <f t="shared" si="18"/>
        <v>大阪府岸和田市</v>
      </c>
      <c r="E1147" s="161">
        <v>6</v>
      </c>
      <c r="F1147" s="157" t="s">
        <v>2795</v>
      </c>
    </row>
    <row r="1148" spans="1:6" ht="15" customHeight="1">
      <c r="A1148" s="155">
        <v>27</v>
      </c>
      <c r="B1148" s="161" t="s">
        <v>2767</v>
      </c>
      <c r="C1148" s="162" t="s">
        <v>2796</v>
      </c>
      <c r="D1148" s="162" t="str">
        <f t="shared" si="18"/>
        <v>大阪府熊取町</v>
      </c>
      <c r="E1148" s="161">
        <v>6</v>
      </c>
      <c r="F1148" s="157" t="s">
        <v>2797</v>
      </c>
    </row>
    <row r="1149" spans="1:6" ht="15" customHeight="1">
      <c r="A1149" s="155">
        <v>27</v>
      </c>
      <c r="B1149" s="161" t="s">
        <v>2767</v>
      </c>
      <c r="C1149" s="162" t="s">
        <v>2798</v>
      </c>
      <c r="D1149" s="162" t="str">
        <f t="shared" si="18"/>
        <v>大阪府堺市</v>
      </c>
      <c r="E1149" s="161">
        <v>6</v>
      </c>
      <c r="F1149" s="157" t="s">
        <v>2109</v>
      </c>
    </row>
    <row r="1150" spans="1:6" ht="15" customHeight="1">
      <c r="A1150" s="155">
        <v>27</v>
      </c>
      <c r="B1150" s="161" t="s">
        <v>2767</v>
      </c>
      <c r="C1150" s="162" t="s">
        <v>2799</v>
      </c>
      <c r="D1150" s="162" t="str">
        <f t="shared" si="18"/>
        <v>大阪府四條畷市</v>
      </c>
      <c r="E1150" s="161">
        <v>6</v>
      </c>
      <c r="F1150" s="157" t="s">
        <v>2800</v>
      </c>
    </row>
    <row r="1151" spans="1:6" ht="15" customHeight="1">
      <c r="A1151" s="155">
        <v>27</v>
      </c>
      <c r="B1151" s="161" t="s">
        <v>2767</v>
      </c>
      <c r="C1151" s="162" t="s">
        <v>2801</v>
      </c>
      <c r="D1151" s="162" t="str">
        <f t="shared" si="18"/>
        <v>大阪府島本町</v>
      </c>
      <c r="E1151" s="161">
        <v>6</v>
      </c>
      <c r="F1151" s="157" t="s">
        <v>2802</v>
      </c>
    </row>
    <row r="1152" spans="1:6" ht="15" customHeight="1">
      <c r="A1152" s="155">
        <v>27</v>
      </c>
      <c r="B1152" s="161" t="s">
        <v>2767</v>
      </c>
      <c r="C1152" s="162" t="s">
        <v>2803</v>
      </c>
      <c r="D1152" s="162" t="str">
        <f t="shared" si="18"/>
        <v>大阪府吹田市</v>
      </c>
      <c r="E1152" s="161">
        <v>6</v>
      </c>
      <c r="F1152" s="157" t="s">
        <v>2804</v>
      </c>
    </row>
    <row r="1153" spans="1:6" ht="15" customHeight="1">
      <c r="A1153" s="155">
        <v>27</v>
      </c>
      <c r="B1153" s="161" t="s">
        <v>2767</v>
      </c>
      <c r="C1153" s="162" t="s">
        <v>2805</v>
      </c>
      <c r="D1153" s="162" t="str">
        <f t="shared" si="18"/>
        <v>大阪府摂津市</v>
      </c>
      <c r="E1153" s="161">
        <v>6</v>
      </c>
      <c r="F1153" s="157" t="s">
        <v>2806</v>
      </c>
    </row>
    <row r="1154" spans="1:6" ht="15" customHeight="1">
      <c r="A1154" s="155">
        <v>27</v>
      </c>
      <c r="B1154" s="161" t="s">
        <v>2767</v>
      </c>
      <c r="C1154" s="162" t="s">
        <v>2807</v>
      </c>
      <c r="D1154" s="162" t="str">
        <f t="shared" si="18"/>
        <v>大阪府泉南市</v>
      </c>
      <c r="E1154" s="161">
        <v>6</v>
      </c>
      <c r="F1154" s="157" t="s">
        <v>2808</v>
      </c>
    </row>
    <row r="1155" spans="1:6" ht="15" customHeight="1">
      <c r="A1155" s="155">
        <v>27</v>
      </c>
      <c r="B1155" s="161" t="s">
        <v>2767</v>
      </c>
      <c r="C1155" s="162" t="s">
        <v>2809</v>
      </c>
      <c r="D1155" s="162" t="str">
        <f t="shared" si="18"/>
        <v>大阪府太子町</v>
      </c>
      <c r="E1155" s="161">
        <v>6</v>
      </c>
      <c r="F1155" s="157" t="s">
        <v>2810</v>
      </c>
    </row>
    <row r="1156" spans="1:6" ht="15" customHeight="1">
      <c r="A1156" s="155">
        <v>27</v>
      </c>
      <c r="B1156" s="161" t="s">
        <v>2767</v>
      </c>
      <c r="C1156" s="162" t="s">
        <v>2811</v>
      </c>
      <c r="D1156" s="162" t="str">
        <f t="shared" ref="D1156:D1219" si="19">B1156&amp;C1156</f>
        <v>大阪府大東市</v>
      </c>
      <c r="E1156" s="161">
        <v>6</v>
      </c>
      <c r="F1156" s="157" t="s">
        <v>2812</v>
      </c>
    </row>
    <row r="1157" spans="1:6" ht="15" customHeight="1">
      <c r="A1157" s="155">
        <v>27</v>
      </c>
      <c r="B1157" s="161" t="s">
        <v>2767</v>
      </c>
      <c r="C1157" s="162" t="s">
        <v>2813</v>
      </c>
      <c r="D1157" s="162" t="str">
        <f t="shared" si="19"/>
        <v>大阪府高石市</v>
      </c>
      <c r="E1157" s="161">
        <v>6</v>
      </c>
      <c r="F1157" s="157" t="s">
        <v>2814</v>
      </c>
    </row>
    <row r="1158" spans="1:6" ht="15" customHeight="1">
      <c r="A1158" s="155">
        <v>27</v>
      </c>
      <c r="B1158" s="161" t="s">
        <v>2767</v>
      </c>
      <c r="C1158" s="162" t="s">
        <v>2815</v>
      </c>
      <c r="D1158" s="162" t="str">
        <f t="shared" si="19"/>
        <v>大阪府高槻市</v>
      </c>
      <c r="E1158" s="161">
        <v>6</v>
      </c>
      <c r="F1158" s="157" t="s">
        <v>2816</v>
      </c>
    </row>
    <row r="1159" spans="1:6" ht="15" customHeight="1">
      <c r="A1159" s="155">
        <v>27</v>
      </c>
      <c r="B1159" s="161" t="s">
        <v>2767</v>
      </c>
      <c r="C1159" s="162" t="s">
        <v>2817</v>
      </c>
      <c r="D1159" s="162" t="str">
        <f t="shared" si="19"/>
        <v>大阪府田尻町</v>
      </c>
      <c r="E1159" s="161">
        <v>6</v>
      </c>
      <c r="F1159" s="157" t="s">
        <v>2818</v>
      </c>
    </row>
    <row r="1160" spans="1:6" ht="15" customHeight="1">
      <c r="A1160" s="155">
        <v>27</v>
      </c>
      <c r="B1160" s="161" t="s">
        <v>2767</v>
      </c>
      <c r="C1160" s="162" t="s">
        <v>2819</v>
      </c>
      <c r="D1160" s="162" t="str">
        <f t="shared" si="19"/>
        <v>大阪府忠岡町</v>
      </c>
      <c r="E1160" s="161">
        <v>6</v>
      </c>
      <c r="F1160" s="157" t="s">
        <v>2820</v>
      </c>
    </row>
    <row r="1161" spans="1:6" ht="15" customHeight="1">
      <c r="A1161" s="155">
        <v>27</v>
      </c>
      <c r="B1161" s="161" t="s">
        <v>2767</v>
      </c>
      <c r="C1161" s="162" t="s">
        <v>2821</v>
      </c>
      <c r="D1161" s="162" t="str">
        <f t="shared" si="19"/>
        <v>大阪府千早赤阪村</v>
      </c>
      <c r="E1161" s="161">
        <v>6</v>
      </c>
      <c r="F1161" s="157" t="s">
        <v>2822</v>
      </c>
    </row>
    <row r="1162" spans="1:6" ht="15" customHeight="1">
      <c r="A1162" s="155">
        <v>27</v>
      </c>
      <c r="B1162" s="161" t="s">
        <v>2767</v>
      </c>
      <c r="C1162" s="162" t="s">
        <v>2823</v>
      </c>
      <c r="D1162" s="162" t="str">
        <f t="shared" si="19"/>
        <v>大阪府豊中市</v>
      </c>
      <c r="E1162" s="161">
        <v>6</v>
      </c>
      <c r="F1162" s="157" t="s">
        <v>2824</v>
      </c>
    </row>
    <row r="1163" spans="1:6" ht="15" customHeight="1">
      <c r="A1163" s="155">
        <v>27</v>
      </c>
      <c r="B1163" s="161" t="s">
        <v>2767</v>
      </c>
      <c r="C1163" s="162" t="s">
        <v>2825</v>
      </c>
      <c r="D1163" s="162" t="str">
        <f t="shared" si="19"/>
        <v>大阪府豊能町</v>
      </c>
      <c r="E1163" s="161">
        <v>5</v>
      </c>
      <c r="F1163" s="157" t="s">
        <v>2826</v>
      </c>
    </row>
    <row r="1164" spans="1:6" ht="15" customHeight="1">
      <c r="A1164" s="155">
        <v>27</v>
      </c>
      <c r="B1164" s="161" t="s">
        <v>2767</v>
      </c>
      <c r="C1164" s="162" t="s">
        <v>2827</v>
      </c>
      <c r="D1164" s="162" t="str">
        <f t="shared" si="19"/>
        <v>大阪府富田林市</v>
      </c>
      <c r="E1164" s="161">
        <v>6</v>
      </c>
      <c r="F1164" s="157" t="s">
        <v>2828</v>
      </c>
    </row>
    <row r="1165" spans="1:6" ht="15" customHeight="1">
      <c r="A1165" s="155">
        <v>27</v>
      </c>
      <c r="B1165" s="161" t="s">
        <v>2767</v>
      </c>
      <c r="C1165" s="162" t="s">
        <v>2829</v>
      </c>
      <c r="D1165" s="162" t="str">
        <f t="shared" si="19"/>
        <v>大阪府寝屋川市</v>
      </c>
      <c r="E1165" s="161">
        <v>6</v>
      </c>
      <c r="F1165" s="157" t="s">
        <v>2830</v>
      </c>
    </row>
    <row r="1166" spans="1:6" ht="15" customHeight="1">
      <c r="A1166" s="155">
        <v>27</v>
      </c>
      <c r="B1166" s="161" t="s">
        <v>2767</v>
      </c>
      <c r="C1166" s="162" t="s">
        <v>2831</v>
      </c>
      <c r="D1166" s="162" t="str">
        <f t="shared" si="19"/>
        <v>大阪府能勢町</v>
      </c>
      <c r="E1166" s="161">
        <v>5</v>
      </c>
      <c r="F1166" s="157" t="s">
        <v>2832</v>
      </c>
    </row>
    <row r="1167" spans="1:6" ht="15" customHeight="1">
      <c r="A1167" s="155">
        <v>27</v>
      </c>
      <c r="B1167" s="161" t="s">
        <v>2767</v>
      </c>
      <c r="C1167" s="162" t="s">
        <v>2833</v>
      </c>
      <c r="D1167" s="162" t="str">
        <f t="shared" si="19"/>
        <v>大阪府羽曳野市</v>
      </c>
      <c r="E1167" s="161">
        <v>6</v>
      </c>
      <c r="F1167" s="157" t="s">
        <v>2834</v>
      </c>
    </row>
    <row r="1168" spans="1:6" ht="15" customHeight="1">
      <c r="A1168" s="155">
        <v>27</v>
      </c>
      <c r="B1168" s="161" t="s">
        <v>2767</v>
      </c>
      <c r="C1168" s="162" t="s">
        <v>2835</v>
      </c>
      <c r="D1168" s="162" t="str">
        <f t="shared" si="19"/>
        <v>大阪府阪南市</v>
      </c>
      <c r="E1168" s="161">
        <v>6</v>
      </c>
      <c r="F1168" s="157" t="s">
        <v>2836</v>
      </c>
    </row>
    <row r="1169" spans="1:6" ht="15" customHeight="1">
      <c r="A1169" s="155">
        <v>27</v>
      </c>
      <c r="B1169" s="161" t="s">
        <v>2767</v>
      </c>
      <c r="C1169" s="162" t="s">
        <v>2837</v>
      </c>
      <c r="D1169" s="162" t="str">
        <f t="shared" si="19"/>
        <v>大阪府東大阪市</v>
      </c>
      <c r="E1169" s="161">
        <v>6</v>
      </c>
      <c r="F1169" s="157" t="s">
        <v>2838</v>
      </c>
    </row>
    <row r="1170" spans="1:6" ht="15" customHeight="1">
      <c r="A1170" s="155">
        <v>27</v>
      </c>
      <c r="B1170" s="161" t="s">
        <v>2767</v>
      </c>
      <c r="C1170" s="162" t="s">
        <v>2839</v>
      </c>
      <c r="D1170" s="162" t="str">
        <f t="shared" si="19"/>
        <v>大阪府枚方市</v>
      </c>
      <c r="E1170" s="161">
        <v>6</v>
      </c>
      <c r="F1170" s="157" t="s">
        <v>2840</v>
      </c>
    </row>
    <row r="1171" spans="1:6" ht="15" customHeight="1">
      <c r="A1171" s="155">
        <v>27</v>
      </c>
      <c r="B1171" s="161" t="s">
        <v>2767</v>
      </c>
      <c r="C1171" s="162" t="s">
        <v>2841</v>
      </c>
      <c r="D1171" s="162" t="str">
        <f t="shared" si="19"/>
        <v>大阪府藤井寺市</v>
      </c>
      <c r="E1171" s="161">
        <v>6</v>
      </c>
      <c r="F1171" s="157" t="s">
        <v>2842</v>
      </c>
    </row>
    <row r="1172" spans="1:6" ht="15" customHeight="1">
      <c r="A1172" s="155">
        <v>27</v>
      </c>
      <c r="B1172" s="161" t="s">
        <v>2767</v>
      </c>
      <c r="C1172" s="162" t="s">
        <v>2843</v>
      </c>
      <c r="D1172" s="162" t="str">
        <f t="shared" si="19"/>
        <v>大阪府松原市</v>
      </c>
      <c r="E1172" s="161">
        <v>6</v>
      </c>
      <c r="F1172" s="157" t="s">
        <v>2844</v>
      </c>
    </row>
    <row r="1173" spans="1:6" ht="15" customHeight="1">
      <c r="A1173" s="155">
        <v>27</v>
      </c>
      <c r="B1173" s="161" t="s">
        <v>2767</v>
      </c>
      <c r="C1173" s="162" t="s">
        <v>2845</v>
      </c>
      <c r="D1173" s="162" t="str">
        <f t="shared" si="19"/>
        <v>大阪府岬町</v>
      </c>
      <c r="E1173" s="161">
        <v>7</v>
      </c>
      <c r="F1173" s="157" t="s">
        <v>2846</v>
      </c>
    </row>
    <row r="1174" spans="1:6" ht="15" customHeight="1">
      <c r="A1174" s="155">
        <v>27</v>
      </c>
      <c r="B1174" s="161" t="s">
        <v>2767</v>
      </c>
      <c r="C1174" s="162" t="s">
        <v>2847</v>
      </c>
      <c r="D1174" s="162" t="str">
        <f t="shared" si="19"/>
        <v>大阪府箕面市</v>
      </c>
      <c r="E1174" s="161">
        <v>6</v>
      </c>
      <c r="F1174" s="157" t="s">
        <v>2848</v>
      </c>
    </row>
    <row r="1175" spans="1:6" ht="15" customHeight="1">
      <c r="A1175" s="155">
        <v>27</v>
      </c>
      <c r="B1175" s="161" t="s">
        <v>2767</v>
      </c>
      <c r="C1175" s="162" t="s">
        <v>2849</v>
      </c>
      <c r="D1175" s="162" t="str">
        <f t="shared" si="19"/>
        <v>大阪府守口市</v>
      </c>
      <c r="E1175" s="161">
        <v>6</v>
      </c>
      <c r="F1175" s="157" t="s">
        <v>2850</v>
      </c>
    </row>
    <row r="1176" spans="1:6" ht="15" customHeight="1">
      <c r="A1176" s="155">
        <v>27</v>
      </c>
      <c r="B1176" s="161" t="s">
        <v>2767</v>
      </c>
      <c r="C1176" s="162" t="s">
        <v>2851</v>
      </c>
      <c r="D1176" s="162" t="str">
        <f t="shared" si="19"/>
        <v>大阪府八尾市</v>
      </c>
      <c r="E1176" s="161">
        <v>6</v>
      </c>
      <c r="F1176" s="157" t="s">
        <v>2852</v>
      </c>
    </row>
    <row r="1177" spans="1:6" ht="15" customHeight="1">
      <c r="A1177" s="155">
        <v>28</v>
      </c>
      <c r="B1177" s="161" t="s">
        <v>2853</v>
      </c>
      <c r="C1177" s="162" t="s">
        <v>2854</v>
      </c>
      <c r="D1177" s="162" t="str">
        <f t="shared" si="19"/>
        <v>兵庫県相生市</v>
      </c>
      <c r="E1177" s="161">
        <v>6</v>
      </c>
      <c r="F1177" s="157" t="s">
        <v>2855</v>
      </c>
    </row>
    <row r="1178" spans="1:6" ht="15" customHeight="1">
      <c r="A1178" s="155">
        <v>28</v>
      </c>
      <c r="B1178" s="161" t="s">
        <v>2853</v>
      </c>
      <c r="C1178" s="162" t="s">
        <v>2856</v>
      </c>
      <c r="D1178" s="162" t="str">
        <f t="shared" si="19"/>
        <v>兵庫県明石市</v>
      </c>
      <c r="E1178" s="161">
        <v>6</v>
      </c>
      <c r="F1178" s="157" t="s">
        <v>2857</v>
      </c>
    </row>
    <row r="1179" spans="1:6" ht="15" customHeight="1">
      <c r="A1179" s="155">
        <v>28</v>
      </c>
      <c r="B1179" s="161" t="s">
        <v>2853</v>
      </c>
      <c r="C1179" s="162" t="s">
        <v>2858</v>
      </c>
      <c r="D1179" s="162" t="str">
        <f t="shared" si="19"/>
        <v>兵庫県赤穂市</v>
      </c>
      <c r="E1179" s="161">
        <v>6</v>
      </c>
      <c r="F1179" s="157" t="s">
        <v>2859</v>
      </c>
    </row>
    <row r="1180" spans="1:6" ht="15" customHeight="1">
      <c r="A1180" s="155">
        <v>28</v>
      </c>
      <c r="B1180" s="161" t="s">
        <v>2853</v>
      </c>
      <c r="C1180" s="162" t="s">
        <v>2860</v>
      </c>
      <c r="D1180" s="162" t="str">
        <f t="shared" si="19"/>
        <v>兵庫県朝来市</v>
      </c>
      <c r="E1180" s="161">
        <v>5</v>
      </c>
      <c r="F1180" s="157" t="s">
        <v>2861</v>
      </c>
    </row>
    <row r="1181" spans="1:6" ht="15" customHeight="1">
      <c r="A1181" s="155">
        <v>28</v>
      </c>
      <c r="B1181" s="161" t="s">
        <v>2853</v>
      </c>
      <c r="C1181" s="162" t="s">
        <v>2862</v>
      </c>
      <c r="D1181" s="162" t="str">
        <f t="shared" si="19"/>
        <v>兵庫県芦屋市</v>
      </c>
      <c r="E1181" s="161">
        <v>6</v>
      </c>
      <c r="F1181" s="157" t="s">
        <v>2863</v>
      </c>
    </row>
    <row r="1182" spans="1:6" ht="15" customHeight="1">
      <c r="A1182" s="155">
        <v>28</v>
      </c>
      <c r="B1182" s="161" t="s">
        <v>2853</v>
      </c>
      <c r="C1182" s="162" t="s">
        <v>2864</v>
      </c>
      <c r="D1182" s="162" t="str">
        <f t="shared" si="19"/>
        <v>兵庫県尼崎市</v>
      </c>
      <c r="E1182" s="161">
        <v>6</v>
      </c>
      <c r="F1182" s="157" t="s">
        <v>2865</v>
      </c>
    </row>
    <row r="1183" spans="1:6" ht="15" customHeight="1">
      <c r="A1183" s="155">
        <v>28</v>
      </c>
      <c r="B1183" s="161" t="s">
        <v>2853</v>
      </c>
      <c r="C1183" s="162" t="s">
        <v>2866</v>
      </c>
      <c r="D1183" s="162" t="str">
        <f t="shared" si="19"/>
        <v>兵庫県淡路市</v>
      </c>
      <c r="E1183" s="161">
        <v>6</v>
      </c>
      <c r="F1183" s="157" t="s">
        <v>2867</v>
      </c>
    </row>
    <row r="1184" spans="1:6" ht="15" customHeight="1">
      <c r="A1184" s="155">
        <v>28</v>
      </c>
      <c r="B1184" s="161" t="s">
        <v>2853</v>
      </c>
      <c r="C1184" s="162" t="s">
        <v>2868</v>
      </c>
      <c r="D1184" s="162" t="str">
        <f t="shared" si="19"/>
        <v>兵庫県伊丹市</v>
      </c>
      <c r="E1184" s="161">
        <v>6</v>
      </c>
      <c r="F1184" s="157" t="s">
        <v>2869</v>
      </c>
    </row>
    <row r="1185" spans="1:6" ht="15" customHeight="1">
      <c r="A1185" s="155">
        <v>28</v>
      </c>
      <c r="B1185" s="161" t="s">
        <v>2853</v>
      </c>
      <c r="C1185" s="162" t="s">
        <v>2870</v>
      </c>
      <c r="D1185" s="162" t="str">
        <f t="shared" si="19"/>
        <v>兵庫県市川町</v>
      </c>
      <c r="E1185" s="161">
        <v>5</v>
      </c>
      <c r="F1185" s="157" t="s">
        <v>2871</v>
      </c>
    </row>
    <row r="1186" spans="1:6" ht="15" customHeight="1">
      <c r="A1186" s="155">
        <v>28</v>
      </c>
      <c r="B1186" s="161" t="s">
        <v>2853</v>
      </c>
      <c r="C1186" s="162" t="s">
        <v>2872</v>
      </c>
      <c r="D1186" s="162" t="str">
        <f t="shared" si="19"/>
        <v>兵庫県猪名川町</v>
      </c>
      <c r="E1186" s="161">
        <v>5</v>
      </c>
      <c r="F1186" s="157" t="s">
        <v>2873</v>
      </c>
    </row>
    <row r="1187" spans="1:6" ht="15" customHeight="1">
      <c r="A1187" s="155">
        <v>28</v>
      </c>
      <c r="B1187" s="161" t="s">
        <v>2853</v>
      </c>
      <c r="C1187" s="162" t="s">
        <v>2874</v>
      </c>
      <c r="D1187" s="162" t="str">
        <f t="shared" si="19"/>
        <v>兵庫県稲美町</v>
      </c>
      <c r="E1187" s="161">
        <v>6</v>
      </c>
      <c r="F1187" s="157" t="s">
        <v>2875</v>
      </c>
    </row>
    <row r="1188" spans="1:6" ht="15" customHeight="1">
      <c r="A1188" s="155">
        <v>28</v>
      </c>
      <c r="B1188" s="161" t="s">
        <v>2853</v>
      </c>
      <c r="C1188" s="162" t="s">
        <v>2876</v>
      </c>
      <c r="D1188" s="162" t="str">
        <f t="shared" si="19"/>
        <v>兵庫県小野市</v>
      </c>
      <c r="E1188" s="161">
        <v>6</v>
      </c>
      <c r="F1188" s="157" t="s">
        <v>2877</v>
      </c>
    </row>
    <row r="1189" spans="1:6" ht="15" customHeight="1">
      <c r="A1189" s="155">
        <v>28</v>
      </c>
      <c r="B1189" s="161" t="s">
        <v>2853</v>
      </c>
      <c r="C1189" s="162" t="s">
        <v>2878</v>
      </c>
      <c r="D1189" s="162" t="str">
        <f t="shared" si="19"/>
        <v>兵庫県加古川市</v>
      </c>
      <c r="E1189" s="161">
        <v>6</v>
      </c>
      <c r="F1189" s="157" t="s">
        <v>2879</v>
      </c>
    </row>
    <row r="1190" spans="1:6" ht="15" customHeight="1">
      <c r="A1190" s="155">
        <v>28</v>
      </c>
      <c r="B1190" s="161" t="s">
        <v>2853</v>
      </c>
      <c r="C1190" s="162" t="s">
        <v>2880</v>
      </c>
      <c r="D1190" s="162" t="str">
        <f t="shared" si="19"/>
        <v>兵庫県加西市</v>
      </c>
      <c r="E1190" s="161">
        <v>5</v>
      </c>
      <c r="F1190" s="157" t="s">
        <v>2881</v>
      </c>
    </row>
    <row r="1191" spans="1:6" ht="15" customHeight="1">
      <c r="A1191" s="155">
        <v>28</v>
      </c>
      <c r="B1191" s="161" t="s">
        <v>2853</v>
      </c>
      <c r="C1191" s="162" t="s">
        <v>2882</v>
      </c>
      <c r="D1191" s="162" t="str">
        <f t="shared" si="19"/>
        <v>兵庫県加東市</v>
      </c>
      <c r="E1191" s="161">
        <v>5</v>
      </c>
      <c r="F1191" s="157" t="s">
        <v>2883</v>
      </c>
    </row>
    <row r="1192" spans="1:6" ht="15" customHeight="1">
      <c r="A1192" s="155">
        <v>28</v>
      </c>
      <c r="B1192" s="161" t="s">
        <v>2853</v>
      </c>
      <c r="C1192" s="162" t="s">
        <v>2884</v>
      </c>
      <c r="D1192" s="162" t="str">
        <f t="shared" si="19"/>
        <v>兵庫県神河町</v>
      </c>
      <c r="E1192" s="161">
        <v>5</v>
      </c>
      <c r="F1192" s="157" t="s">
        <v>648</v>
      </c>
    </row>
    <row r="1193" spans="1:6" ht="15" customHeight="1">
      <c r="A1193" s="155">
        <v>28</v>
      </c>
      <c r="B1193" s="161" t="s">
        <v>2853</v>
      </c>
      <c r="C1193" s="162" t="s">
        <v>2885</v>
      </c>
      <c r="D1193" s="162" t="str">
        <f t="shared" si="19"/>
        <v>兵庫県上郡町</v>
      </c>
      <c r="E1193" s="161">
        <v>5</v>
      </c>
      <c r="F1193" s="157" t="s">
        <v>2886</v>
      </c>
    </row>
    <row r="1194" spans="1:6" ht="15" customHeight="1">
      <c r="A1194" s="155">
        <v>28</v>
      </c>
      <c r="B1194" s="161" t="s">
        <v>2853</v>
      </c>
      <c r="C1194" s="162" t="s">
        <v>2887</v>
      </c>
      <c r="D1194" s="162" t="str">
        <f t="shared" si="19"/>
        <v>兵庫県香美町（旧村岡町、旧美方町に限る。）</v>
      </c>
      <c r="E1194" s="161">
        <v>4</v>
      </c>
      <c r="F1194" s="157" t="s">
        <v>2888</v>
      </c>
    </row>
    <row r="1195" spans="1:6" ht="15" customHeight="1">
      <c r="A1195" s="155">
        <v>28</v>
      </c>
      <c r="B1195" s="161" t="s">
        <v>2853</v>
      </c>
      <c r="C1195" s="162" t="s">
        <v>2889</v>
      </c>
      <c r="D1195" s="162" t="str">
        <f t="shared" si="19"/>
        <v>兵庫県香美町（旧村岡町、旧美方町を除く。）</v>
      </c>
      <c r="E1195" s="161">
        <v>6</v>
      </c>
      <c r="F1195" s="157" t="s">
        <v>2890</v>
      </c>
    </row>
    <row r="1196" spans="1:6" ht="15" customHeight="1">
      <c r="A1196" s="155">
        <v>28</v>
      </c>
      <c r="B1196" s="161" t="s">
        <v>2853</v>
      </c>
      <c r="C1196" s="162" t="s">
        <v>2891</v>
      </c>
      <c r="D1196" s="162" t="str">
        <f t="shared" si="19"/>
        <v>兵庫県川西市</v>
      </c>
      <c r="E1196" s="161">
        <v>6</v>
      </c>
      <c r="F1196" s="157" t="s">
        <v>2892</v>
      </c>
    </row>
    <row r="1197" spans="1:6" ht="15" customHeight="1">
      <c r="A1197" s="155">
        <v>28</v>
      </c>
      <c r="B1197" s="161" t="s">
        <v>2853</v>
      </c>
      <c r="C1197" s="162" t="s">
        <v>2893</v>
      </c>
      <c r="D1197" s="162" t="str">
        <f t="shared" si="19"/>
        <v>兵庫県神戸市</v>
      </c>
      <c r="E1197" s="161">
        <v>6</v>
      </c>
      <c r="F1197" s="157" t="s">
        <v>2894</v>
      </c>
    </row>
    <row r="1198" spans="1:6" ht="15" customHeight="1">
      <c r="A1198" s="155">
        <v>28</v>
      </c>
      <c r="B1198" s="161" t="s">
        <v>2853</v>
      </c>
      <c r="C1198" s="162" t="s">
        <v>2895</v>
      </c>
      <c r="D1198" s="162" t="str">
        <f t="shared" si="19"/>
        <v>兵庫県佐用町</v>
      </c>
      <c r="E1198" s="161">
        <v>5</v>
      </c>
      <c r="F1198" s="157" t="s">
        <v>2896</v>
      </c>
    </row>
    <row r="1199" spans="1:6" ht="15" customHeight="1">
      <c r="A1199" s="155">
        <v>28</v>
      </c>
      <c r="B1199" s="161" t="s">
        <v>2853</v>
      </c>
      <c r="C1199" s="162" t="s">
        <v>2897</v>
      </c>
      <c r="D1199" s="162" t="str">
        <f t="shared" si="19"/>
        <v>兵庫県三田市</v>
      </c>
      <c r="E1199" s="161">
        <v>5</v>
      </c>
      <c r="F1199" s="157" t="s">
        <v>2898</v>
      </c>
    </row>
    <row r="1200" spans="1:6" ht="15" customHeight="1">
      <c r="A1200" s="155">
        <v>28</v>
      </c>
      <c r="B1200" s="161" t="s">
        <v>2853</v>
      </c>
      <c r="C1200" s="162" t="s">
        <v>2899</v>
      </c>
      <c r="D1200" s="162" t="str">
        <f t="shared" si="19"/>
        <v>兵庫県宍粟市</v>
      </c>
      <c r="E1200" s="161">
        <v>5</v>
      </c>
      <c r="F1200" s="157" t="s">
        <v>2900</v>
      </c>
    </row>
    <row r="1201" spans="1:6" ht="15" customHeight="1">
      <c r="A1201" s="155">
        <v>28</v>
      </c>
      <c r="B1201" s="161" t="s">
        <v>2853</v>
      </c>
      <c r="C1201" s="162" t="s">
        <v>2901</v>
      </c>
      <c r="D1201" s="162" t="str">
        <f t="shared" si="19"/>
        <v>兵庫県新温泉町（旧温泉町に限る。）</v>
      </c>
      <c r="E1201" s="161">
        <v>5</v>
      </c>
      <c r="F1201" s="157" t="s">
        <v>2902</v>
      </c>
    </row>
    <row r="1202" spans="1:6" ht="15" customHeight="1">
      <c r="A1202" s="155">
        <v>28</v>
      </c>
      <c r="B1202" s="161" t="s">
        <v>2853</v>
      </c>
      <c r="C1202" s="162" t="s">
        <v>2903</v>
      </c>
      <c r="D1202" s="162" t="str">
        <f t="shared" si="19"/>
        <v>兵庫県新温泉町（旧浜坂町に限る。）</v>
      </c>
      <c r="E1202" s="161">
        <v>6</v>
      </c>
      <c r="F1202" s="157" t="s">
        <v>2904</v>
      </c>
    </row>
    <row r="1203" spans="1:6" ht="15" customHeight="1">
      <c r="A1203" s="155">
        <v>28</v>
      </c>
      <c r="B1203" s="161" t="s">
        <v>2853</v>
      </c>
      <c r="C1203" s="162" t="s">
        <v>2905</v>
      </c>
      <c r="D1203" s="162" t="str">
        <f t="shared" si="19"/>
        <v>兵庫県洲本市</v>
      </c>
      <c r="E1203" s="161">
        <v>6</v>
      </c>
      <c r="F1203" s="157" t="s">
        <v>2906</v>
      </c>
    </row>
    <row r="1204" spans="1:6" ht="15" customHeight="1">
      <c r="A1204" s="155">
        <v>28</v>
      </c>
      <c r="B1204" s="161" t="s">
        <v>2853</v>
      </c>
      <c r="C1204" s="162" t="s">
        <v>2809</v>
      </c>
      <c r="D1204" s="162" t="str">
        <f t="shared" si="19"/>
        <v>兵庫県太子町</v>
      </c>
      <c r="E1204" s="161">
        <v>6</v>
      </c>
      <c r="F1204" s="157" t="s">
        <v>2810</v>
      </c>
    </row>
    <row r="1205" spans="1:6" ht="15" customHeight="1">
      <c r="A1205" s="155">
        <v>28</v>
      </c>
      <c r="B1205" s="161" t="s">
        <v>2853</v>
      </c>
      <c r="C1205" s="162" t="s">
        <v>2907</v>
      </c>
      <c r="D1205" s="162" t="str">
        <f t="shared" si="19"/>
        <v>兵庫県高砂市</v>
      </c>
      <c r="E1205" s="161">
        <v>6</v>
      </c>
      <c r="F1205" s="157" t="s">
        <v>2908</v>
      </c>
    </row>
    <row r="1206" spans="1:6" ht="15" customHeight="1">
      <c r="A1206" s="155">
        <v>28</v>
      </c>
      <c r="B1206" s="161" t="s">
        <v>2853</v>
      </c>
      <c r="C1206" s="162" t="s">
        <v>2909</v>
      </c>
      <c r="D1206" s="162" t="str">
        <f t="shared" si="19"/>
        <v>兵庫県多可町</v>
      </c>
      <c r="E1206" s="161">
        <v>5</v>
      </c>
      <c r="F1206" s="157" t="s">
        <v>2910</v>
      </c>
    </row>
    <row r="1207" spans="1:6" ht="15" customHeight="1">
      <c r="A1207" s="155">
        <v>28</v>
      </c>
      <c r="B1207" s="161" t="s">
        <v>2853</v>
      </c>
      <c r="C1207" s="162" t="s">
        <v>2911</v>
      </c>
      <c r="D1207" s="162" t="str">
        <f t="shared" si="19"/>
        <v>兵庫県宝塚市</v>
      </c>
      <c r="E1207" s="161">
        <v>6</v>
      </c>
      <c r="F1207" s="157" t="s">
        <v>2912</v>
      </c>
    </row>
    <row r="1208" spans="1:6" ht="15" customHeight="1">
      <c r="A1208" s="155">
        <v>28</v>
      </c>
      <c r="B1208" s="161" t="s">
        <v>2853</v>
      </c>
      <c r="C1208" s="162" t="s">
        <v>2913</v>
      </c>
      <c r="D1208" s="162" t="str">
        <f t="shared" si="19"/>
        <v>兵庫県たつの市</v>
      </c>
      <c r="E1208" s="161">
        <v>6</v>
      </c>
      <c r="F1208" s="157" t="s">
        <v>2914</v>
      </c>
    </row>
    <row r="1209" spans="1:6" ht="15" customHeight="1">
      <c r="A1209" s="155">
        <v>28</v>
      </c>
      <c r="B1209" s="161" t="s">
        <v>2853</v>
      </c>
      <c r="C1209" s="162" t="s">
        <v>2915</v>
      </c>
      <c r="D1209" s="162" t="str">
        <f t="shared" si="19"/>
        <v>兵庫県丹波篠山市</v>
      </c>
      <c r="E1209" s="161">
        <v>5</v>
      </c>
      <c r="F1209" s="157" t="s">
        <v>2916</v>
      </c>
    </row>
    <row r="1210" spans="1:6" ht="15" customHeight="1">
      <c r="A1210" s="155">
        <v>28</v>
      </c>
      <c r="B1210" s="161" t="s">
        <v>2853</v>
      </c>
      <c r="C1210" s="162" t="s">
        <v>2917</v>
      </c>
      <c r="D1210" s="162" t="str">
        <f t="shared" si="19"/>
        <v>兵庫県丹波市</v>
      </c>
      <c r="E1210" s="161">
        <v>5</v>
      </c>
      <c r="F1210" s="157" t="s">
        <v>2918</v>
      </c>
    </row>
    <row r="1211" spans="1:6" ht="15" customHeight="1">
      <c r="A1211" s="155">
        <v>28</v>
      </c>
      <c r="B1211" s="161" t="s">
        <v>2853</v>
      </c>
      <c r="C1211" s="162" t="s">
        <v>2919</v>
      </c>
      <c r="D1211" s="162" t="str">
        <f t="shared" si="19"/>
        <v>兵庫県豊岡市</v>
      </c>
      <c r="E1211" s="161">
        <v>5</v>
      </c>
      <c r="F1211" s="157" t="s">
        <v>2920</v>
      </c>
    </row>
    <row r="1212" spans="1:6" ht="15" customHeight="1">
      <c r="A1212" s="155">
        <v>28</v>
      </c>
      <c r="B1212" s="161" t="s">
        <v>2853</v>
      </c>
      <c r="C1212" s="162" t="s">
        <v>2921</v>
      </c>
      <c r="D1212" s="162" t="str">
        <f t="shared" si="19"/>
        <v>兵庫県西宮市</v>
      </c>
      <c r="E1212" s="161">
        <v>6</v>
      </c>
      <c r="F1212" s="157" t="s">
        <v>2922</v>
      </c>
    </row>
    <row r="1213" spans="1:6" ht="15" customHeight="1">
      <c r="A1213" s="155">
        <v>28</v>
      </c>
      <c r="B1213" s="161" t="s">
        <v>2853</v>
      </c>
      <c r="C1213" s="162" t="s">
        <v>2923</v>
      </c>
      <c r="D1213" s="162" t="str">
        <f t="shared" si="19"/>
        <v>兵庫県西脇市</v>
      </c>
      <c r="E1213" s="161">
        <v>5</v>
      </c>
      <c r="F1213" s="157" t="s">
        <v>2924</v>
      </c>
    </row>
    <row r="1214" spans="1:6" ht="15" customHeight="1">
      <c r="A1214" s="155">
        <v>28</v>
      </c>
      <c r="B1214" s="161" t="s">
        <v>2853</v>
      </c>
      <c r="C1214" s="162" t="s">
        <v>2925</v>
      </c>
      <c r="D1214" s="162" t="str">
        <f t="shared" si="19"/>
        <v>兵庫県播磨町</v>
      </c>
      <c r="E1214" s="161">
        <v>6</v>
      </c>
      <c r="F1214" s="157" t="s">
        <v>2926</v>
      </c>
    </row>
    <row r="1215" spans="1:6" ht="15" customHeight="1">
      <c r="A1215" s="155">
        <v>28</v>
      </c>
      <c r="B1215" s="161" t="s">
        <v>2853</v>
      </c>
      <c r="C1215" s="162" t="s">
        <v>2927</v>
      </c>
      <c r="D1215" s="162" t="str">
        <f t="shared" si="19"/>
        <v>兵庫県姫路市</v>
      </c>
      <c r="E1215" s="161">
        <v>6</v>
      </c>
      <c r="F1215" s="157" t="s">
        <v>2928</v>
      </c>
    </row>
    <row r="1216" spans="1:6" ht="15" customHeight="1">
      <c r="A1216" s="155">
        <v>28</v>
      </c>
      <c r="B1216" s="161" t="s">
        <v>2853</v>
      </c>
      <c r="C1216" s="162" t="s">
        <v>2929</v>
      </c>
      <c r="D1216" s="162" t="str">
        <f t="shared" si="19"/>
        <v>兵庫県福崎町</v>
      </c>
      <c r="E1216" s="161">
        <v>6</v>
      </c>
      <c r="F1216" s="157" t="s">
        <v>2930</v>
      </c>
    </row>
    <row r="1217" spans="1:6" ht="15" customHeight="1">
      <c r="A1217" s="155">
        <v>28</v>
      </c>
      <c r="B1217" s="161" t="s">
        <v>2853</v>
      </c>
      <c r="C1217" s="162" t="s">
        <v>2931</v>
      </c>
      <c r="D1217" s="162" t="str">
        <f t="shared" si="19"/>
        <v>兵庫県三木市</v>
      </c>
      <c r="E1217" s="161">
        <v>6</v>
      </c>
      <c r="F1217" s="157" t="s">
        <v>2932</v>
      </c>
    </row>
    <row r="1218" spans="1:6" ht="15" customHeight="1">
      <c r="A1218" s="155">
        <v>28</v>
      </c>
      <c r="B1218" s="161" t="s">
        <v>2853</v>
      </c>
      <c r="C1218" s="162" t="s">
        <v>2933</v>
      </c>
      <c r="D1218" s="162" t="str">
        <f t="shared" si="19"/>
        <v>兵庫県南あわじ市</v>
      </c>
      <c r="E1218" s="161">
        <v>6</v>
      </c>
      <c r="F1218" s="157" t="s">
        <v>2934</v>
      </c>
    </row>
    <row r="1219" spans="1:6" ht="15" customHeight="1">
      <c r="A1219" s="155">
        <v>28</v>
      </c>
      <c r="B1219" s="161" t="s">
        <v>2853</v>
      </c>
      <c r="C1219" s="162" t="s">
        <v>2935</v>
      </c>
      <c r="D1219" s="162" t="str">
        <f t="shared" si="19"/>
        <v>兵庫県養父市</v>
      </c>
      <c r="E1219" s="161">
        <v>5</v>
      </c>
      <c r="F1219" s="157" t="s">
        <v>2936</v>
      </c>
    </row>
    <row r="1220" spans="1:6" ht="15" customHeight="1">
      <c r="A1220" s="155">
        <v>29</v>
      </c>
      <c r="B1220" s="161" t="s">
        <v>2937</v>
      </c>
      <c r="C1220" s="162" t="s">
        <v>2938</v>
      </c>
      <c r="D1220" s="162" t="str">
        <f t="shared" ref="D1220:D1283" si="20">B1220&amp;C1220</f>
        <v>奈良県明日香村</v>
      </c>
      <c r="E1220" s="161">
        <v>6</v>
      </c>
      <c r="F1220" s="157" t="s">
        <v>2939</v>
      </c>
    </row>
    <row r="1221" spans="1:6" ht="15" customHeight="1">
      <c r="A1221" s="155">
        <v>29</v>
      </c>
      <c r="B1221" s="161" t="s">
        <v>2937</v>
      </c>
      <c r="C1221" s="162" t="s">
        <v>2940</v>
      </c>
      <c r="D1221" s="162" t="str">
        <f t="shared" si="20"/>
        <v>奈良県安堵町</v>
      </c>
      <c r="E1221" s="161">
        <v>6</v>
      </c>
      <c r="F1221" s="157" t="s">
        <v>2941</v>
      </c>
    </row>
    <row r="1222" spans="1:6" ht="15" customHeight="1">
      <c r="A1222" s="155">
        <v>29</v>
      </c>
      <c r="B1222" s="161" t="s">
        <v>2937</v>
      </c>
      <c r="C1222" s="162" t="s">
        <v>2942</v>
      </c>
      <c r="D1222" s="162" t="str">
        <f t="shared" si="20"/>
        <v>奈良県斑鳩町</v>
      </c>
      <c r="E1222" s="161">
        <v>6</v>
      </c>
      <c r="F1222" s="157" t="s">
        <v>2943</v>
      </c>
    </row>
    <row r="1223" spans="1:6" ht="15" customHeight="1">
      <c r="A1223" s="155">
        <v>29</v>
      </c>
      <c r="B1223" s="161" t="s">
        <v>2937</v>
      </c>
      <c r="C1223" s="162" t="s">
        <v>2944</v>
      </c>
      <c r="D1223" s="162" t="str">
        <f t="shared" si="20"/>
        <v>奈良県生駒市</v>
      </c>
      <c r="E1223" s="161">
        <v>5</v>
      </c>
      <c r="F1223" s="157" t="s">
        <v>2945</v>
      </c>
    </row>
    <row r="1224" spans="1:6" ht="15" customHeight="1">
      <c r="A1224" s="155">
        <v>29</v>
      </c>
      <c r="B1224" s="161" t="s">
        <v>2937</v>
      </c>
      <c r="C1224" s="162" t="s">
        <v>2946</v>
      </c>
      <c r="D1224" s="162" t="str">
        <f t="shared" si="20"/>
        <v>奈良県宇陀市</v>
      </c>
      <c r="E1224" s="161">
        <v>5</v>
      </c>
      <c r="F1224" s="157" t="s">
        <v>2947</v>
      </c>
    </row>
    <row r="1225" spans="1:6" ht="15" customHeight="1">
      <c r="A1225" s="155">
        <v>29</v>
      </c>
      <c r="B1225" s="161" t="s">
        <v>2937</v>
      </c>
      <c r="C1225" s="162" t="s">
        <v>2948</v>
      </c>
      <c r="D1225" s="162" t="str">
        <f t="shared" si="20"/>
        <v>奈良県王寺町</v>
      </c>
      <c r="E1225" s="161">
        <v>6</v>
      </c>
      <c r="F1225" s="157" t="s">
        <v>2949</v>
      </c>
    </row>
    <row r="1226" spans="1:6" ht="15" customHeight="1">
      <c r="A1226" s="155">
        <v>29</v>
      </c>
      <c r="B1226" s="161" t="s">
        <v>2937</v>
      </c>
      <c r="C1226" s="162" t="s">
        <v>2950</v>
      </c>
      <c r="D1226" s="162" t="str">
        <f t="shared" si="20"/>
        <v>奈良県大淀町</v>
      </c>
      <c r="E1226" s="161">
        <v>5</v>
      </c>
      <c r="F1226" s="157" t="s">
        <v>2951</v>
      </c>
    </row>
    <row r="1227" spans="1:6" ht="15" customHeight="1">
      <c r="A1227" s="155">
        <v>29</v>
      </c>
      <c r="B1227" s="161" t="s">
        <v>2937</v>
      </c>
      <c r="C1227" s="162" t="s">
        <v>2952</v>
      </c>
      <c r="D1227" s="162" t="str">
        <f t="shared" si="20"/>
        <v>奈良県香芝市</v>
      </c>
      <c r="E1227" s="161">
        <v>6</v>
      </c>
      <c r="F1227" s="157" t="s">
        <v>2953</v>
      </c>
    </row>
    <row r="1228" spans="1:6" ht="15" customHeight="1">
      <c r="A1228" s="155">
        <v>29</v>
      </c>
      <c r="B1228" s="161" t="s">
        <v>2937</v>
      </c>
      <c r="C1228" s="162" t="s">
        <v>2954</v>
      </c>
      <c r="D1228" s="162" t="str">
        <f t="shared" si="20"/>
        <v>奈良県橿原市</v>
      </c>
      <c r="E1228" s="161">
        <v>6</v>
      </c>
      <c r="F1228" s="157" t="s">
        <v>2955</v>
      </c>
    </row>
    <row r="1229" spans="1:6" ht="15" customHeight="1">
      <c r="A1229" s="155">
        <v>29</v>
      </c>
      <c r="B1229" s="161" t="s">
        <v>2937</v>
      </c>
      <c r="C1229" s="162" t="s">
        <v>2956</v>
      </c>
      <c r="D1229" s="162" t="str">
        <f t="shared" si="20"/>
        <v>奈良県葛城市</v>
      </c>
      <c r="E1229" s="161">
        <v>6</v>
      </c>
      <c r="F1229" s="157" t="s">
        <v>2957</v>
      </c>
    </row>
    <row r="1230" spans="1:6" ht="15" customHeight="1">
      <c r="A1230" s="155">
        <v>29</v>
      </c>
      <c r="B1230" s="161" t="s">
        <v>2937</v>
      </c>
      <c r="C1230" s="162" t="s">
        <v>2958</v>
      </c>
      <c r="D1230" s="162" t="str">
        <f t="shared" si="20"/>
        <v>奈良県上北山村</v>
      </c>
      <c r="E1230" s="161">
        <v>5</v>
      </c>
      <c r="F1230" s="157" t="s">
        <v>2959</v>
      </c>
    </row>
    <row r="1231" spans="1:6" ht="15" customHeight="1">
      <c r="A1231" s="155">
        <v>29</v>
      </c>
      <c r="B1231" s="161" t="s">
        <v>2937</v>
      </c>
      <c r="C1231" s="162" t="s">
        <v>2960</v>
      </c>
      <c r="D1231" s="162" t="str">
        <f t="shared" si="20"/>
        <v>奈良県河合町</v>
      </c>
      <c r="E1231" s="161">
        <v>6</v>
      </c>
      <c r="F1231" s="157" t="s">
        <v>2961</v>
      </c>
    </row>
    <row r="1232" spans="1:6" ht="15" customHeight="1">
      <c r="A1232" s="155">
        <v>29</v>
      </c>
      <c r="B1232" s="161" t="s">
        <v>2937</v>
      </c>
      <c r="C1232" s="162" t="s">
        <v>2962</v>
      </c>
      <c r="D1232" s="162" t="str">
        <f t="shared" si="20"/>
        <v>奈良県川上村</v>
      </c>
      <c r="E1232" s="161">
        <v>4</v>
      </c>
      <c r="F1232" s="157" t="s">
        <v>2240</v>
      </c>
    </row>
    <row r="1233" spans="1:6" ht="15" customHeight="1">
      <c r="A1233" s="155">
        <v>29</v>
      </c>
      <c r="B1233" s="161" t="s">
        <v>2937</v>
      </c>
      <c r="C1233" s="162" t="s">
        <v>1236</v>
      </c>
      <c r="D1233" s="162" t="str">
        <f t="shared" si="20"/>
        <v>奈良県川西町</v>
      </c>
      <c r="E1233" s="161">
        <v>6</v>
      </c>
      <c r="F1233" s="157" t="s">
        <v>1237</v>
      </c>
    </row>
    <row r="1234" spans="1:6" ht="15" customHeight="1">
      <c r="A1234" s="155">
        <v>29</v>
      </c>
      <c r="B1234" s="161" t="s">
        <v>2937</v>
      </c>
      <c r="C1234" s="162" t="s">
        <v>2963</v>
      </c>
      <c r="D1234" s="162" t="str">
        <f t="shared" si="20"/>
        <v>奈良県上牧町</v>
      </c>
      <c r="E1234" s="161">
        <v>6</v>
      </c>
      <c r="F1234" s="157" t="s">
        <v>2964</v>
      </c>
    </row>
    <row r="1235" spans="1:6" ht="15" customHeight="1">
      <c r="A1235" s="155">
        <v>29</v>
      </c>
      <c r="B1235" s="161" t="s">
        <v>2937</v>
      </c>
      <c r="C1235" s="162" t="s">
        <v>2965</v>
      </c>
      <c r="D1235" s="162" t="str">
        <f t="shared" si="20"/>
        <v>奈良県黒滝村</v>
      </c>
      <c r="E1235" s="161">
        <v>4</v>
      </c>
      <c r="F1235" s="157" t="s">
        <v>2966</v>
      </c>
    </row>
    <row r="1236" spans="1:6" ht="15" customHeight="1">
      <c r="A1236" s="155">
        <v>29</v>
      </c>
      <c r="B1236" s="161" t="s">
        <v>2937</v>
      </c>
      <c r="C1236" s="162" t="s">
        <v>2967</v>
      </c>
      <c r="D1236" s="162" t="str">
        <f t="shared" si="20"/>
        <v>奈良県広陵町</v>
      </c>
      <c r="E1236" s="161">
        <v>6</v>
      </c>
      <c r="F1236" s="157" t="s">
        <v>2968</v>
      </c>
    </row>
    <row r="1237" spans="1:6" ht="15" customHeight="1">
      <c r="A1237" s="155">
        <v>29</v>
      </c>
      <c r="B1237" s="161" t="s">
        <v>2937</v>
      </c>
      <c r="C1237" s="162" t="s">
        <v>2969</v>
      </c>
      <c r="D1237" s="162" t="str">
        <f t="shared" si="20"/>
        <v>奈良県五條市(旧大塔村に限る。)</v>
      </c>
      <c r="E1237" s="161">
        <v>4</v>
      </c>
      <c r="F1237" s="157" t="s">
        <v>2970</v>
      </c>
    </row>
    <row r="1238" spans="1:6" ht="15" customHeight="1">
      <c r="A1238" s="155">
        <v>29</v>
      </c>
      <c r="B1238" s="161" t="s">
        <v>2937</v>
      </c>
      <c r="C1238" s="162" t="s">
        <v>2971</v>
      </c>
      <c r="D1238" s="162" t="str">
        <f t="shared" si="20"/>
        <v>奈良県五條市（旧大塔村を除く。）</v>
      </c>
      <c r="E1238" s="161">
        <v>6</v>
      </c>
      <c r="F1238" s="157" t="s">
        <v>2972</v>
      </c>
    </row>
    <row r="1239" spans="1:6" ht="15" customHeight="1">
      <c r="A1239" s="155">
        <v>29</v>
      </c>
      <c r="B1239" s="161" t="s">
        <v>2937</v>
      </c>
      <c r="C1239" s="162" t="s">
        <v>2973</v>
      </c>
      <c r="D1239" s="162" t="str">
        <f t="shared" si="20"/>
        <v>奈良県御所市</v>
      </c>
      <c r="E1239" s="161">
        <v>6</v>
      </c>
      <c r="F1239" s="157" t="s">
        <v>2974</v>
      </c>
    </row>
    <row r="1240" spans="1:6" ht="15" customHeight="1">
      <c r="A1240" s="155">
        <v>29</v>
      </c>
      <c r="B1240" s="161" t="s">
        <v>2937</v>
      </c>
      <c r="C1240" s="162" t="s">
        <v>2975</v>
      </c>
      <c r="D1240" s="162" t="str">
        <f t="shared" si="20"/>
        <v>奈良県桜井市</v>
      </c>
      <c r="E1240" s="161">
        <v>6</v>
      </c>
      <c r="F1240" s="157" t="s">
        <v>2976</v>
      </c>
    </row>
    <row r="1241" spans="1:6" ht="15" customHeight="1">
      <c r="A1241" s="155">
        <v>29</v>
      </c>
      <c r="B1241" s="161" t="s">
        <v>2937</v>
      </c>
      <c r="C1241" s="162" t="s">
        <v>2977</v>
      </c>
      <c r="D1241" s="162" t="str">
        <f t="shared" si="20"/>
        <v>奈良県三郷町</v>
      </c>
      <c r="E1241" s="161">
        <v>6</v>
      </c>
      <c r="F1241" s="157" t="s">
        <v>2978</v>
      </c>
    </row>
    <row r="1242" spans="1:6" ht="15" customHeight="1">
      <c r="A1242" s="155">
        <v>29</v>
      </c>
      <c r="B1242" s="161" t="s">
        <v>2937</v>
      </c>
      <c r="C1242" s="162" t="s">
        <v>2979</v>
      </c>
      <c r="D1242" s="162" t="str">
        <f t="shared" si="20"/>
        <v>奈良県下市町</v>
      </c>
      <c r="E1242" s="161">
        <v>5</v>
      </c>
      <c r="F1242" s="157" t="s">
        <v>2980</v>
      </c>
    </row>
    <row r="1243" spans="1:6" ht="15" customHeight="1">
      <c r="A1243" s="155">
        <v>29</v>
      </c>
      <c r="B1243" s="161" t="s">
        <v>2937</v>
      </c>
      <c r="C1243" s="162" t="s">
        <v>2981</v>
      </c>
      <c r="D1243" s="162" t="str">
        <f t="shared" si="20"/>
        <v>奈良県下北山村</v>
      </c>
      <c r="E1243" s="161">
        <v>5</v>
      </c>
      <c r="F1243" s="157" t="s">
        <v>2982</v>
      </c>
    </row>
    <row r="1244" spans="1:6" ht="15" customHeight="1">
      <c r="A1244" s="155">
        <v>29</v>
      </c>
      <c r="B1244" s="161" t="s">
        <v>2937</v>
      </c>
      <c r="C1244" s="162" t="s">
        <v>2983</v>
      </c>
      <c r="D1244" s="162" t="str">
        <f t="shared" si="20"/>
        <v>奈良県曽爾村</v>
      </c>
      <c r="E1244" s="161">
        <v>4</v>
      </c>
      <c r="F1244" s="157" t="s">
        <v>2984</v>
      </c>
    </row>
    <row r="1245" spans="1:6" ht="15" customHeight="1">
      <c r="A1245" s="155">
        <v>29</v>
      </c>
      <c r="B1245" s="161" t="s">
        <v>2937</v>
      </c>
      <c r="C1245" s="162" t="s">
        <v>2985</v>
      </c>
      <c r="D1245" s="162" t="str">
        <f t="shared" si="20"/>
        <v>奈良県高取町</v>
      </c>
      <c r="E1245" s="161">
        <v>6</v>
      </c>
      <c r="F1245" s="157" t="s">
        <v>2986</v>
      </c>
    </row>
    <row r="1246" spans="1:6" ht="15" customHeight="1">
      <c r="A1246" s="155">
        <v>29</v>
      </c>
      <c r="B1246" s="161" t="s">
        <v>2937</v>
      </c>
      <c r="C1246" s="162" t="s">
        <v>2987</v>
      </c>
      <c r="D1246" s="162" t="str">
        <f t="shared" si="20"/>
        <v>奈良県田原本町</v>
      </c>
      <c r="E1246" s="161">
        <v>6</v>
      </c>
      <c r="F1246" s="157" t="s">
        <v>2988</v>
      </c>
    </row>
    <row r="1247" spans="1:6" ht="15" customHeight="1">
      <c r="A1247" s="155">
        <v>29</v>
      </c>
      <c r="B1247" s="161" t="s">
        <v>2937</v>
      </c>
      <c r="C1247" s="162" t="s">
        <v>2989</v>
      </c>
      <c r="D1247" s="162" t="str">
        <f t="shared" si="20"/>
        <v>奈良県天川村</v>
      </c>
      <c r="E1247" s="161">
        <v>4</v>
      </c>
      <c r="F1247" s="157" t="s">
        <v>2990</v>
      </c>
    </row>
    <row r="1248" spans="1:6" ht="15" customHeight="1">
      <c r="A1248" s="155">
        <v>29</v>
      </c>
      <c r="B1248" s="161" t="s">
        <v>2937</v>
      </c>
      <c r="C1248" s="162" t="s">
        <v>2991</v>
      </c>
      <c r="D1248" s="162" t="str">
        <f t="shared" si="20"/>
        <v>奈良県天理市</v>
      </c>
      <c r="E1248" s="161">
        <v>6</v>
      </c>
      <c r="F1248" s="157" t="s">
        <v>2992</v>
      </c>
    </row>
    <row r="1249" spans="1:6" ht="15" customHeight="1">
      <c r="A1249" s="155">
        <v>29</v>
      </c>
      <c r="B1249" s="161" t="s">
        <v>2937</v>
      </c>
      <c r="C1249" s="162" t="s">
        <v>2993</v>
      </c>
      <c r="D1249" s="162" t="str">
        <f t="shared" si="20"/>
        <v>奈良県十津川村</v>
      </c>
      <c r="E1249" s="161">
        <v>5</v>
      </c>
      <c r="F1249" s="157" t="s">
        <v>2994</v>
      </c>
    </row>
    <row r="1250" spans="1:6" ht="15" customHeight="1">
      <c r="A1250" s="155">
        <v>29</v>
      </c>
      <c r="B1250" s="161" t="s">
        <v>2937</v>
      </c>
      <c r="C1250" s="162" t="s">
        <v>2995</v>
      </c>
      <c r="D1250" s="162" t="str">
        <f t="shared" si="20"/>
        <v>奈良県奈良市(旧都祁村に限る。)</v>
      </c>
      <c r="E1250" s="161">
        <v>4</v>
      </c>
      <c r="F1250" s="157" t="s">
        <v>2996</v>
      </c>
    </row>
    <row r="1251" spans="1:6" ht="15" customHeight="1">
      <c r="A1251" s="155">
        <v>29</v>
      </c>
      <c r="B1251" s="161" t="s">
        <v>2937</v>
      </c>
      <c r="C1251" s="162" t="s">
        <v>2997</v>
      </c>
      <c r="D1251" s="162" t="str">
        <f t="shared" si="20"/>
        <v>奈良県奈良市（旧都祁村を除く。）</v>
      </c>
      <c r="E1251" s="161">
        <v>6</v>
      </c>
      <c r="F1251" s="157" t="s">
        <v>2998</v>
      </c>
    </row>
    <row r="1252" spans="1:6" ht="15" customHeight="1">
      <c r="A1252" s="155">
        <v>29</v>
      </c>
      <c r="B1252" s="161" t="s">
        <v>2937</v>
      </c>
      <c r="C1252" s="162" t="s">
        <v>2999</v>
      </c>
      <c r="D1252" s="162" t="str">
        <f t="shared" si="20"/>
        <v>奈良県野迫川村</v>
      </c>
      <c r="E1252" s="161">
        <v>3</v>
      </c>
      <c r="F1252" s="157" t="s">
        <v>3000</v>
      </c>
    </row>
    <row r="1253" spans="1:6" ht="15" customHeight="1">
      <c r="A1253" s="155">
        <v>29</v>
      </c>
      <c r="B1253" s="161" t="s">
        <v>2937</v>
      </c>
      <c r="C1253" s="162" t="s">
        <v>3001</v>
      </c>
      <c r="D1253" s="162" t="str">
        <f t="shared" si="20"/>
        <v>奈良県東吉野村</v>
      </c>
      <c r="E1253" s="161">
        <v>5</v>
      </c>
      <c r="F1253" s="157" t="s">
        <v>3002</v>
      </c>
    </row>
    <row r="1254" spans="1:6" ht="15" customHeight="1">
      <c r="A1254" s="155">
        <v>29</v>
      </c>
      <c r="B1254" s="161" t="s">
        <v>2937</v>
      </c>
      <c r="C1254" s="162" t="s">
        <v>3003</v>
      </c>
      <c r="D1254" s="162" t="str">
        <f t="shared" si="20"/>
        <v>奈良県平群町</v>
      </c>
      <c r="E1254" s="161">
        <v>5</v>
      </c>
      <c r="F1254" s="157" t="s">
        <v>3004</v>
      </c>
    </row>
    <row r="1255" spans="1:6" ht="15" customHeight="1">
      <c r="A1255" s="155">
        <v>29</v>
      </c>
      <c r="B1255" s="161" t="s">
        <v>2937</v>
      </c>
      <c r="C1255" s="162" t="s">
        <v>3005</v>
      </c>
      <c r="D1255" s="162" t="str">
        <f t="shared" si="20"/>
        <v>奈良県御杖村</v>
      </c>
      <c r="E1255" s="161">
        <v>4</v>
      </c>
      <c r="F1255" s="157" t="s">
        <v>3006</v>
      </c>
    </row>
    <row r="1256" spans="1:6" ht="15" customHeight="1">
      <c r="A1256" s="155">
        <v>29</v>
      </c>
      <c r="B1256" s="161" t="s">
        <v>2937</v>
      </c>
      <c r="C1256" s="162" t="s">
        <v>3007</v>
      </c>
      <c r="D1256" s="162" t="str">
        <f t="shared" si="20"/>
        <v>奈良県三宅町</v>
      </c>
      <c r="E1256" s="161">
        <v>6</v>
      </c>
      <c r="F1256" s="157" t="s">
        <v>3008</v>
      </c>
    </row>
    <row r="1257" spans="1:6" ht="15" customHeight="1">
      <c r="A1257" s="155">
        <v>29</v>
      </c>
      <c r="B1257" s="161" t="s">
        <v>2937</v>
      </c>
      <c r="C1257" s="162" t="s">
        <v>3009</v>
      </c>
      <c r="D1257" s="162" t="str">
        <f t="shared" si="20"/>
        <v>奈良県山添村</v>
      </c>
      <c r="E1257" s="161">
        <v>5</v>
      </c>
      <c r="F1257" s="157" t="s">
        <v>3010</v>
      </c>
    </row>
    <row r="1258" spans="1:6" ht="15" customHeight="1">
      <c r="A1258" s="155">
        <v>29</v>
      </c>
      <c r="B1258" s="161" t="s">
        <v>2937</v>
      </c>
      <c r="C1258" s="162" t="s">
        <v>3011</v>
      </c>
      <c r="D1258" s="162" t="str">
        <f t="shared" si="20"/>
        <v>奈良県大和郡山市</v>
      </c>
      <c r="E1258" s="161">
        <v>6</v>
      </c>
      <c r="F1258" s="157" t="s">
        <v>3012</v>
      </c>
    </row>
    <row r="1259" spans="1:6" ht="15" customHeight="1">
      <c r="A1259" s="155">
        <v>29</v>
      </c>
      <c r="B1259" s="161" t="s">
        <v>2937</v>
      </c>
      <c r="C1259" s="162" t="s">
        <v>3013</v>
      </c>
      <c r="D1259" s="162" t="str">
        <f t="shared" si="20"/>
        <v>奈良県大和高田市</v>
      </c>
      <c r="E1259" s="161">
        <v>6</v>
      </c>
      <c r="F1259" s="157" t="s">
        <v>3014</v>
      </c>
    </row>
    <row r="1260" spans="1:6" ht="15" customHeight="1">
      <c r="A1260" s="155">
        <v>29</v>
      </c>
      <c r="B1260" s="161" t="s">
        <v>2937</v>
      </c>
      <c r="C1260" s="162" t="s">
        <v>3015</v>
      </c>
      <c r="D1260" s="162" t="str">
        <f t="shared" si="20"/>
        <v>奈良県吉野町</v>
      </c>
      <c r="E1260" s="161">
        <v>5</v>
      </c>
      <c r="F1260" s="157" t="s">
        <v>3016</v>
      </c>
    </row>
    <row r="1261" spans="1:6" ht="15" customHeight="1">
      <c r="A1261" s="155">
        <v>30</v>
      </c>
      <c r="B1261" s="161" t="s">
        <v>3017</v>
      </c>
      <c r="C1261" s="162" t="s">
        <v>3018</v>
      </c>
      <c r="D1261" s="162" t="str">
        <f t="shared" si="20"/>
        <v>和歌山県有田川町</v>
      </c>
      <c r="E1261" s="161">
        <v>6</v>
      </c>
      <c r="F1261" s="157" t="s">
        <v>3019</v>
      </c>
    </row>
    <row r="1262" spans="1:6" ht="15" customHeight="1">
      <c r="A1262" s="155">
        <v>30</v>
      </c>
      <c r="B1262" s="161" t="s">
        <v>3017</v>
      </c>
      <c r="C1262" s="162" t="s">
        <v>3020</v>
      </c>
      <c r="D1262" s="162" t="str">
        <f t="shared" si="20"/>
        <v>和歌山県有田市</v>
      </c>
      <c r="E1262" s="161">
        <v>6</v>
      </c>
      <c r="F1262" s="157" t="s">
        <v>3021</v>
      </c>
    </row>
    <row r="1263" spans="1:6" ht="15" customHeight="1">
      <c r="A1263" s="155">
        <v>30</v>
      </c>
      <c r="B1263" s="161" t="s">
        <v>3017</v>
      </c>
      <c r="C1263" s="162" t="s">
        <v>3022</v>
      </c>
      <c r="D1263" s="162" t="str">
        <f t="shared" si="20"/>
        <v>和歌山県印南町</v>
      </c>
      <c r="E1263" s="161">
        <v>7</v>
      </c>
      <c r="F1263" s="157" t="s">
        <v>2875</v>
      </c>
    </row>
    <row r="1264" spans="1:6" ht="15" customHeight="1">
      <c r="A1264" s="155">
        <v>30</v>
      </c>
      <c r="B1264" s="161" t="s">
        <v>3017</v>
      </c>
      <c r="C1264" s="162" t="s">
        <v>3023</v>
      </c>
      <c r="D1264" s="162" t="str">
        <f t="shared" si="20"/>
        <v>和歌山県岩出市</v>
      </c>
      <c r="E1264" s="161">
        <v>6</v>
      </c>
      <c r="F1264" s="157" t="s">
        <v>3024</v>
      </c>
    </row>
    <row r="1265" spans="1:6" ht="15" customHeight="1">
      <c r="A1265" s="155">
        <v>30</v>
      </c>
      <c r="B1265" s="161" t="s">
        <v>3017</v>
      </c>
      <c r="C1265" s="162" t="s">
        <v>3025</v>
      </c>
      <c r="D1265" s="162" t="str">
        <f t="shared" si="20"/>
        <v>和歌山県海南市</v>
      </c>
      <c r="E1265" s="161">
        <v>6</v>
      </c>
      <c r="F1265" s="157" t="s">
        <v>3026</v>
      </c>
    </row>
    <row r="1266" spans="1:6" ht="15" customHeight="1">
      <c r="A1266" s="155">
        <v>30</v>
      </c>
      <c r="B1266" s="161" t="s">
        <v>3017</v>
      </c>
      <c r="C1266" s="162" t="s">
        <v>3027</v>
      </c>
      <c r="D1266" s="162" t="str">
        <f t="shared" si="20"/>
        <v>和歌山県かつらぎ町(旧花園村に限る。)</v>
      </c>
      <c r="E1266" s="161">
        <v>5</v>
      </c>
      <c r="F1266" s="157" t="s">
        <v>3028</v>
      </c>
    </row>
    <row r="1267" spans="1:6" ht="15" customHeight="1">
      <c r="A1267" s="155">
        <v>30</v>
      </c>
      <c r="B1267" s="161" t="s">
        <v>3017</v>
      </c>
      <c r="C1267" s="162" t="s">
        <v>3029</v>
      </c>
      <c r="D1267" s="162" t="str">
        <f t="shared" si="20"/>
        <v>和歌山県かつらぎ町（旧花園村を除く。）</v>
      </c>
      <c r="E1267" s="161">
        <v>6</v>
      </c>
      <c r="F1267" s="157" t="s">
        <v>3030</v>
      </c>
    </row>
    <row r="1268" spans="1:6" ht="15" customHeight="1">
      <c r="A1268" s="155">
        <v>30</v>
      </c>
      <c r="B1268" s="161" t="s">
        <v>3017</v>
      </c>
      <c r="C1268" s="162" t="s">
        <v>3031</v>
      </c>
      <c r="D1268" s="162" t="str">
        <f t="shared" si="20"/>
        <v>和歌山県上富田町</v>
      </c>
      <c r="E1268" s="161">
        <v>6</v>
      </c>
      <c r="F1268" s="157" t="s">
        <v>3032</v>
      </c>
    </row>
    <row r="1269" spans="1:6" ht="15" customHeight="1">
      <c r="A1269" s="155">
        <v>30</v>
      </c>
      <c r="B1269" s="161" t="s">
        <v>3017</v>
      </c>
      <c r="C1269" s="162" t="s">
        <v>3033</v>
      </c>
      <c r="D1269" s="162" t="str">
        <f t="shared" si="20"/>
        <v>和歌山県北山村</v>
      </c>
      <c r="E1269" s="161">
        <v>6</v>
      </c>
      <c r="F1269" s="157" t="s">
        <v>3034</v>
      </c>
    </row>
    <row r="1270" spans="1:6" ht="15" customHeight="1">
      <c r="A1270" s="155">
        <v>30</v>
      </c>
      <c r="B1270" s="161" t="s">
        <v>3017</v>
      </c>
      <c r="C1270" s="162" t="s">
        <v>3035</v>
      </c>
      <c r="D1270" s="162" t="str">
        <f t="shared" si="20"/>
        <v>和歌山県紀の川市</v>
      </c>
      <c r="E1270" s="161">
        <v>6</v>
      </c>
      <c r="F1270" s="157" t="s">
        <v>3036</v>
      </c>
    </row>
    <row r="1271" spans="1:6" ht="15" customHeight="1">
      <c r="A1271" s="155">
        <v>30</v>
      </c>
      <c r="B1271" s="161" t="s">
        <v>3017</v>
      </c>
      <c r="C1271" s="162" t="s">
        <v>3037</v>
      </c>
      <c r="D1271" s="162" t="str">
        <f t="shared" si="20"/>
        <v>和歌山県紀美野町</v>
      </c>
      <c r="E1271" s="161">
        <v>6</v>
      </c>
      <c r="F1271" s="157" t="s">
        <v>3038</v>
      </c>
    </row>
    <row r="1272" spans="1:6" ht="15" customHeight="1">
      <c r="A1272" s="155">
        <v>30</v>
      </c>
      <c r="B1272" s="161" t="s">
        <v>3017</v>
      </c>
      <c r="C1272" s="162" t="s">
        <v>3039</v>
      </c>
      <c r="D1272" s="162" t="str">
        <f t="shared" si="20"/>
        <v>和歌山県串本町</v>
      </c>
      <c r="E1272" s="161">
        <v>7</v>
      </c>
      <c r="F1272" s="157" t="s">
        <v>3040</v>
      </c>
    </row>
    <row r="1273" spans="1:6" ht="15" customHeight="1">
      <c r="A1273" s="155">
        <v>30</v>
      </c>
      <c r="B1273" s="161" t="s">
        <v>3017</v>
      </c>
      <c r="C1273" s="162" t="s">
        <v>3041</v>
      </c>
      <c r="D1273" s="162" t="str">
        <f t="shared" si="20"/>
        <v>和歌山県九度山町</v>
      </c>
      <c r="E1273" s="161">
        <v>6</v>
      </c>
      <c r="F1273" s="157" t="s">
        <v>3042</v>
      </c>
    </row>
    <row r="1274" spans="1:6" ht="15" customHeight="1">
      <c r="A1274" s="155">
        <v>30</v>
      </c>
      <c r="B1274" s="161" t="s">
        <v>3017</v>
      </c>
      <c r="C1274" s="162" t="s">
        <v>3043</v>
      </c>
      <c r="D1274" s="162" t="str">
        <f t="shared" si="20"/>
        <v>和歌山県古座川町</v>
      </c>
      <c r="E1274" s="161">
        <v>7</v>
      </c>
      <c r="F1274" s="157" t="s">
        <v>3044</v>
      </c>
    </row>
    <row r="1275" spans="1:6" ht="15" customHeight="1">
      <c r="A1275" s="155">
        <v>30</v>
      </c>
      <c r="B1275" s="161" t="s">
        <v>3017</v>
      </c>
      <c r="C1275" s="162" t="s">
        <v>3045</v>
      </c>
      <c r="D1275" s="162" t="str">
        <f t="shared" si="20"/>
        <v>和歌山県御坊市</v>
      </c>
      <c r="E1275" s="161">
        <v>7</v>
      </c>
      <c r="F1275" s="157" t="s">
        <v>3046</v>
      </c>
    </row>
    <row r="1276" spans="1:6" ht="15" customHeight="1">
      <c r="A1276" s="155">
        <v>30</v>
      </c>
      <c r="B1276" s="161" t="s">
        <v>3017</v>
      </c>
      <c r="C1276" s="162" t="s">
        <v>3047</v>
      </c>
      <c r="D1276" s="162" t="str">
        <f t="shared" si="20"/>
        <v>和歌山県白浜町</v>
      </c>
      <c r="E1276" s="161">
        <v>7</v>
      </c>
      <c r="F1276" s="157" t="s">
        <v>3048</v>
      </c>
    </row>
    <row r="1277" spans="1:6" ht="15" customHeight="1">
      <c r="A1277" s="155">
        <v>30</v>
      </c>
      <c r="B1277" s="161" t="s">
        <v>3017</v>
      </c>
      <c r="C1277" s="162" t="s">
        <v>3049</v>
      </c>
      <c r="D1277" s="162" t="str">
        <f t="shared" si="20"/>
        <v>和歌山県新宮市</v>
      </c>
      <c r="E1277" s="161">
        <v>7</v>
      </c>
      <c r="F1277" s="157" t="s">
        <v>3050</v>
      </c>
    </row>
    <row r="1278" spans="1:6" ht="15" customHeight="1">
      <c r="A1278" s="155">
        <v>30</v>
      </c>
      <c r="B1278" s="161" t="s">
        <v>3017</v>
      </c>
      <c r="C1278" s="162" t="s">
        <v>3051</v>
      </c>
      <c r="D1278" s="162" t="str">
        <f t="shared" si="20"/>
        <v>和歌山県すさみ町</v>
      </c>
      <c r="E1278" s="161">
        <v>7</v>
      </c>
      <c r="F1278" s="157" t="s">
        <v>3052</v>
      </c>
    </row>
    <row r="1279" spans="1:6" ht="15" customHeight="1">
      <c r="A1279" s="155">
        <v>30</v>
      </c>
      <c r="B1279" s="161" t="s">
        <v>3017</v>
      </c>
      <c r="C1279" s="162" t="s">
        <v>3053</v>
      </c>
      <c r="D1279" s="162" t="str">
        <f t="shared" si="20"/>
        <v>和歌山県太地町</v>
      </c>
      <c r="E1279" s="161">
        <v>7</v>
      </c>
      <c r="F1279" s="157" t="s">
        <v>3054</v>
      </c>
    </row>
    <row r="1280" spans="1:6" ht="15" customHeight="1">
      <c r="A1280" s="155">
        <v>30</v>
      </c>
      <c r="B1280" s="161" t="s">
        <v>3017</v>
      </c>
      <c r="C1280" s="162" t="s">
        <v>3055</v>
      </c>
      <c r="D1280" s="162" t="str">
        <f t="shared" si="20"/>
        <v>和歌山県高野町</v>
      </c>
      <c r="E1280" s="161">
        <v>4</v>
      </c>
      <c r="F1280" s="157" t="s">
        <v>3056</v>
      </c>
    </row>
    <row r="1281" spans="1:6" ht="15" customHeight="1">
      <c r="A1281" s="155">
        <v>30</v>
      </c>
      <c r="B1281" s="161" t="s">
        <v>3017</v>
      </c>
      <c r="C1281" s="162" t="s">
        <v>3057</v>
      </c>
      <c r="D1281" s="162" t="str">
        <f t="shared" si="20"/>
        <v>和歌山県田辺市(旧本宮町に限る。)</v>
      </c>
      <c r="E1281" s="161">
        <v>6</v>
      </c>
      <c r="F1281" s="157" t="s">
        <v>3058</v>
      </c>
    </row>
    <row r="1282" spans="1:6" ht="15" customHeight="1">
      <c r="A1282" s="155">
        <v>30</v>
      </c>
      <c r="B1282" s="161" t="s">
        <v>3017</v>
      </c>
      <c r="C1282" s="162" t="s">
        <v>3059</v>
      </c>
      <c r="D1282" s="162" t="str">
        <f t="shared" si="20"/>
        <v>和歌山県田辺市（旧龍神村、旧本宮町を除く。）</v>
      </c>
      <c r="E1282" s="161">
        <v>7</v>
      </c>
      <c r="F1282" s="157" t="s">
        <v>3060</v>
      </c>
    </row>
    <row r="1283" spans="1:6" ht="15" customHeight="1">
      <c r="A1283" s="155">
        <v>30</v>
      </c>
      <c r="B1283" s="161" t="s">
        <v>3017</v>
      </c>
      <c r="C1283" s="162" t="s">
        <v>3061</v>
      </c>
      <c r="D1283" s="162" t="str">
        <f t="shared" si="20"/>
        <v>和歌山県田辺市(旧龍神村に限る。)</v>
      </c>
      <c r="E1283" s="161">
        <v>5</v>
      </c>
      <c r="F1283" s="157" t="s">
        <v>3062</v>
      </c>
    </row>
    <row r="1284" spans="1:6" ht="15" customHeight="1">
      <c r="A1284" s="155">
        <v>30</v>
      </c>
      <c r="B1284" s="161" t="s">
        <v>3017</v>
      </c>
      <c r="C1284" s="162" t="s">
        <v>3063</v>
      </c>
      <c r="D1284" s="162" t="str">
        <f t="shared" ref="D1284:D1347" si="21">B1284&amp;C1284</f>
        <v>和歌山県那智勝浦町</v>
      </c>
      <c r="E1284" s="161">
        <v>7</v>
      </c>
      <c r="F1284" s="157" t="s">
        <v>3064</v>
      </c>
    </row>
    <row r="1285" spans="1:6" ht="15" customHeight="1">
      <c r="A1285" s="155">
        <v>30</v>
      </c>
      <c r="B1285" s="161" t="s">
        <v>3017</v>
      </c>
      <c r="C1285" s="162" t="s">
        <v>3065</v>
      </c>
      <c r="D1285" s="162" t="str">
        <f t="shared" si="21"/>
        <v>和歌山県橋本市</v>
      </c>
      <c r="E1285" s="161">
        <v>6</v>
      </c>
      <c r="F1285" s="157" t="s">
        <v>3066</v>
      </c>
    </row>
    <row r="1286" spans="1:6" ht="15" customHeight="1">
      <c r="A1286" s="155">
        <v>30</v>
      </c>
      <c r="B1286" s="161" t="s">
        <v>3017</v>
      </c>
      <c r="C1286" s="162" t="s">
        <v>3067</v>
      </c>
      <c r="D1286" s="162" t="str">
        <f t="shared" si="21"/>
        <v>和歌山県日高川町（旧川辺町、旧中津村に限る。）</v>
      </c>
      <c r="E1286" s="161">
        <v>6</v>
      </c>
      <c r="F1286" s="157" t="s">
        <v>3068</v>
      </c>
    </row>
    <row r="1287" spans="1:6" ht="15" customHeight="1">
      <c r="A1287" s="155">
        <v>30</v>
      </c>
      <c r="B1287" s="161" t="s">
        <v>3017</v>
      </c>
      <c r="C1287" s="162" t="s">
        <v>3069</v>
      </c>
      <c r="D1287" s="162" t="str">
        <f t="shared" si="21"/>
        <v>和歌山県日高川町（旧美山村に限る。）</v>
      </c>
      <c r="E1287" s="161">
        <v>5</v>
      </c>
      <c r="F1287" s="157" t="s">
        <v>3070</v>
      </c>
    </row>
    <row r="1288" spans="1:6" ht="15" customHeight="1">
      <c r="A1288" s="155">
        <v>30</v>
      </c>
      <c r="B1288" s="161" t="s">
        <v>3017</v>
      </c>
      <c r="C1288" s="162" t="s">
        <v>845</v>
      </c>
      <c r="D1288" s="162" t="str">
        <f t="shared" si="21"/>
        <v>和歌山県日高町</v>
      </c>
      <c r="E1288" s="161">
        <v>6</v>
      </c>
      <c r="F1288" s="157" t="s">
        <v>846</v>
      </c>
    </row>
    <row r="1289" spans="1:6" ht="15" customHeight="1">
      <c r="A1289" s="155">
        <v>30</v>
      </c>
      <c r="B1289" s="161" t="s">
        <v>3017</v>
      </c>
      <c r="C1289" s="162" t="s">
        <v>3071</v>
      </c>
      <c r="D1289" s="162" t="str">
        <f t="shared" si="21"/>
        <v>和歌山県広川町</v>
      </c>
      <c r="E1289" s="161">
        <v>6</v>
      </c>
      <c r="F1289" s="157" t="s">
        <v>3072</v>
      </c>
    </row>
    <row r="1290" spans="1:6" ht="15" customHeight="1">
      <c r="A1290" s="155">
        <v>30</v>
      </c>
      <c r="B1290" s="161" t="s">
        <v>3017</v>
      </c>
      <c r="C1290" s="162" t="s">
        <v>3073</v>
      </c>
      <c r="D1290" s="162" t="str">
        <f t="shared" si="21"/>
        <v>和歌山県みなべ町</v>
      </c>
      <c r="E1290" s="161">
        <v>7</v>
      </c>
      <c r="F1290" s="157" t="s">
        <v>3074</v>
      </c>
    </row>
    <row r="1291" spans="1:6" ht="15" customHeight="1">
      <c r="A1291" s="155">
        <v>30</v>
      </c>
      <c r="B1291" s="161" t="s">
        <v>3017</v>
      </c>
      <c r="C1291" s="162" t="s">
        <v>2120</v>
      </c>
      <c r="D1291" s="162" t="str">
        <f t="shared" si="21"/>
        <v>和歌山県美浜町</v>
      </c>
      <c r="E1291" s="161">
        <v>7</v>
      </c>
      <c r="F1291" s="157" t="s">
        <v>2121</v>
      </c>
    </row>
    <row r="1292" spans="1:6" ht="15" customHeight="1">
      <c r="A1292" s="155">
        <v>30</v>
      </c>
      <c r="B1292" s="161" t="s">
        <v>3017</v>
      </c>
      <c r="C1292" s="162" t="s">
        <v>3075</v>
      </c>
      <c r="D1292" s="162" t="str">
        <f t="shared" si="21"/>
        <v>和歌山県湯浅町</v>
      </c>
      <c r="E1292" s="161">
        <v>6</v>
      </c>
      <c r="F1292" s="157" t="s">
        <v>3076</v>
      </c>
    </row>
    <row r="1293" spans="1:6" ht="15" customHeight="1">
      <c r="A1293" s="155">
        <v>30</v>
      </c>
      <c r="B1293" s="161" t="s">
        <v>3017</v>
      </c>
      <c r="C1293" s="162" t="s">
        <v>3077</v>
      </c>
      <c r="D1293" s="162" t="str">
        <f t="shared" si="21"/>
        <v>和歌山県由良町</v>
      </c>
      <c r="E1293" s="161">
        <v>6</v>
      </c>
      <c r="F1293" s="157" t="s">
        <v>3078</v>
      </c>
    </row>
    <row r="1294" spans="1:6" ht="15" customHeight="1">
      <c r="A1294" s="155">
        <v>30</v>
      </c>
      <c r="B1294" s="161" t="s">
        <v>3017</v>
      </c>
      <c r="C1294" s="162" t="s">
        <v>3079</v>
      </c>
      <c r="D1294" s="162" t="str">
        <f t="shared" si="21"/>
        <v>和歌山県和歌山市</v>
      </c>
      <c r="E1294" s="161">
        <v>7</v>
      </c>
      <c r="F1294" s="157" t="s">
        <v>3080</v>
      </c>
    </row>
    <row r="1295" spans="1:6" ht="15" customHeight="1">
      <c r="A1295" s="155">
        <v>31</v>
      </c>
      <c r="B1295" s="161" t="s">
        <v>3081</v>
      </c>
      <c r="C1295" s="162" t="s">
        <v>3082</v>
      </c>
      <c r="D1295" s="162" t="str">
        <f t="shared" si="21"/>
        <v>鳥取県岩美町</v>
      </c>
      <c r="E1295" s="161">
        <v>6</v>
      </c>
      <c r="F1295" s="157" t="s">
        <v>3083</v>
      </c>
    </row>
    <row r="1296" spans="1:6" ht="15" customHeight="1">
      <c r="A1296" s="155">
        <v>31</v>
      </c>
      <c r="B1296" s="161" t="s">
        <v>3081</v>
      </c>
      <c r="C1296" s="162" t="s">
        <v>3084</v>
      </c>
      <c r="D1296" s="162" t="str">
        <f t="shared" si="21"/>
        <v>鳥取県北栄町</v>
      </c>
      <c r="E1296" s="161">
        <v>6</v>
      </c>
      <c r="F1296" s="157" t="s">
        <v>3085</v>
      </c>
    </row>
    <row r="1297" spans="1:6" ht="15" customHeight="1">
      <c r="A1297" s="155">
        <v>31</v>
      </c>
      <c r="B1297" s="161" t="s">
        <v>3081</v>
      </c>
      <c r="C1297" s="162" t="s">
        <v>3086</v>
      </c>
      <c r="D1297" s="162" t="str">
        <f t="shared" si="21"/>
        <v>鳥取県倉吉市</v>
      </c>
      <c r="E1297" s="161">
        <v>5</v>
      </c>
      <c r="F1297" s="157" t="s">
        <v>3087</v>
      </c>
    </row>
    <row r="1298" spans="1:6" ht="15" customHeight="1">
      <c r="A1298" s="155">
        <v>31</v>
      </c>
      <c r="B1298" s="161" t="s">
        <v>3081</v>
      </c>
      <c r="C1298" s="162" t="s">
        <v>3088</v>
      </c>
      <c r="D1298" s="162" t="str">
        <f t="shared" si="21"/>
        <v>鳥取県江府町</v>
      </c>
      <c r="E1298" s="161">
        <v>5</v>
      </c>
      <c r="F1298" s="157" t="s">
        <v>3089</v>
      </c>
    </row>
    <row r="1299" spans="1:6" ht="15" customHeight="1">
      <c r="A1299" s="155">
        <v>31</v>
      </c>
      <c r="B1299" s="161" t="s">
        <v>3081</v>
      </c>
      <c r="C1299" s="162" t="s">
        <v>3090</v>
      </c>
      <c r="D1299" s="162" t="str">
        <f t="shared" si="21"/>
        <v>鳥取県琴浦町</v>
      </c>
      <c r="E1299" s="161">
        <v>6</v>
      </c>
      <c r="F1299" s="157" t="s">
        <v>3091</v>
      </c>
    </row>
    <row r="1300" spans="1:6" ht="15" customHeight="1">
      <c r="A1300" s="155">
        <v>31</v>
      </c>
      <c r="B1300" s="161" t="s">
        <v>3081</v>
      </c>
      <c r="C1300" s="162" t="s">
        <v>3092</v>
      </c>
      <c r="D1300" s="162" t="str">
        <f t="shared" si="21"/>
        <v>鳥取県境港市</v>
      </c>
      <c r="E1300" s="161">
        <v>6</v>
      </c>
      <c r="F1300" s="157" t="s">
        <v>3093</v>
      </c>
    </row>
    <row r="1301" spans="1:6" ht="15" customHeight="1">
      <c r="A1301" s="155">
        <v>31</v>
      </c>
      <c r="B1301" s="161" t="s">
        <v>3081</v>
      </c>
      <c r="C1301" s="162" t="s">
        <v>3094</v>
      </c>
      <c r="D1301" s="162" t="str">
        <f t="shared" si="21"/>
        <v>鳥取県大山町</v>
      </c>
      <c r="E1301" s="161">
        <v>6</v>
      </c>
      <c r="F1301" s="157" t="s">
        <v>3095</v>
      </c>
    </row>
    <row r="1302" spans="1:6" ht="15" customHeight="1">
      <c r="A1302" s="155">
        <v>31</v>
      </c>
      <c r="B1302" s="161" t="s">
        <v>3081</v>
      </c>
      <c r="C1302" s="162" t="s">
        <v>3096</v>
      </c>
      <c r="D1302" s="162" t="str">
        <f t="shared" si="21"/>
        <v>鳥取県智頭町</v>
      </c>
      <c r="E1302" s="161">
        <v>5</v>
      </c>
      <c r="F1302" s="157" t="s">
        <v>3097</v>
      </c>
    </row>
    <row r="1303" spans="1:6" ht="15" customHeight="1">
      <c r="A1303" s="155">
        <v>31</v>
      </c>
      <c r="B1303" s="161" t="s">
        <v>3081</v>
      </c>
      <c r="C1303" s="162" t="s">
        <v>3098</v>
      </c>
      <c r="D1303" s="162" t="str">
        <f t="shared" si="21"/>
        <v>鳥取県鳥取市</v>
      </c>
      <c r="E1303" s="161">
        <v>6</v>
      </c>
      <c r="F1303" s="157" t="s">
        <v>3099</v>
      </c>
    </row>
    <row r="1304" spans="1:6" ht="15" customHeight="1">
      <c r="A1304" s="155">
        <v>31</v>
      </c>
      <c r="B1304" s="161" t="s">
        <v>3081</v>
      </c>
      <c r="C1304" s="162" t="s">
        <v>983</v>
      </c>
      <c r="D1304" s="162" t="str">
        <f t="shared" si="21"/>
        <v>鳥取県南部町</v>
      </c>
      <c r="E1304" s="161">
        <v>5</v>
      </c>
      <c r="F1304" s="157" t="s">
        <v>984</v>
      </c>
    </row>
    <row r="1305" spans="1:6" ht="15" customHeight="1">
      <c r="A1305" s="155">
        <v>31</v>
      </c>
      <c r="B1305" s="161" t="s">
        <v>3081</v>
      </c>
      <c r="C1305" s="162" t="s">
        <v>3100</v>
      </c>
      <c r="D1305" s="162" t="str">
        <f t="shared" si="21"/>
        <v>鳥取県日南町</v>
      </c>
      <c r="E1305" s="161">
        <v>4</v>
      </c>
      <c r="F1305" s="157" t="s">
        <v>3101</v>
      </c>
    </row>
    <row r="1306" spans="1:6" ht="15" customHeight="1">
      <c r="A1306" s="155">
        <v>31</v>
      </c>
      <c r="B1306" s="161" t="s">
        <v>3081</v>
      </c>
      <c r="C1306" s="162" t="s">
        <v>3102</v>
      </c>
      <c r="D1306" s="162" t="str">
        <f t="shared" si="21"/>
        <v>鳥取県日吉津村</v>
      </c>
      <c r="E1306" s="161">
        <v>6</v>
      </c>
      <c r="F1306" s="157" t="s">
        <v>3103</v>
      </c>
    </row>
    <row r="1307" spans="1:6" ht="15" customHeight="1">
      <c r="A1307" s="155">
        <v>31</v>
      </c>
      <c r="B1307" s="161" t="s">
        <v>3081</v>
      </c>
      <c r="C1307" s="162" t="s">
        <v>2702</v>
      </c>
      <c r="D1307" s="162" t="str">
        <f t="shared" si="21"/>
        <v>鳥取県日野町</v>
      </c>
      <c r="E1307" s="161">
        <v>4</v>
      </c>
      <c r="F1307" s="157" t="s">
        <v>2703</v>
      </c>
    </row>
    <row r="1308" spans="1:6" ht="15" customHeight="1">
      <c r="A1308" s="155">
        <v>31</v>
      </c>
      <c r="B1308" s="161" t="s">
        <v>3081</v>
      </c>
      <c r="C1308" s="162" t="s">
        <v>3104</v>
      </c>
      <c r="D1308" s="162" t="str">
        <f t="shared" si="21"/>
        <v>鳥取県伯耆町</v>
      </c>
      <c r="E1308" s="161">
        <v>6</v>
      </c>
      <c r="F1308" s="157" t="s">
        <v>3105</v>
      </c>
    </row>
    <row r="1309" spans="1:6" ht="15" customHeight="1">
      <c r="A1309" s="155">
        <v>31</v>
      </c>
      <c r="B1309" s="161" t="s">
        <v>3081</v>
      </c>
      <c r="C1309" s="162" t="s">
        <v>3106</v>
      </c>
      <c r="D1309" s="162" t="str">
        <f t="shared" si="21"/>
        <v>鳥取県三朝町</v>
      </c>
      <c r="E1309" s="161">
        <v>5</v>
      </c>
      <c r="F1309" s="157" t="s">
        <v>3107</v>
      </c>
    </row>
    <row r="1310" spans="1:6" ht="15" customHeight="1">
      <c r="A1310" s="155">
        <v>31</v>
      </c>
      <c r="B1310" s="161" t="s">
        <v>3081</v>
      </c>
      <c r="C1310" s="162" t="s">
        <v>3108</v>
      </c>
      <c r="D1310" s="162" t="str">
        <f t="shared" si="21"/>
        <v>鳥取県八頭町</v>
      </c>
      <c r="E1310" s="161">
        <v>5</v>
      </c>
      <c r="F1310" s="157" t="s">
        <v>3109</v>
      </c>
    </row>
    <row r="1311" spans="1:6" ht="15" customHeight="1">
      <c r="A1311" s="155">
        <v>31</v>
      </c>
      <c r="B1311" s="161" t="s">
        <v>3081</v>
      </c>
      <c r="C1311" s="162" t="s">
        <v>3110</v>
      </c>
      <c r="D1311" s="162" t="str">
        <f t="shared" si="21"/>
        <v>鳥取県湯梨浜町</v>
      </c>
      <c r="E1311" s="161">
        <v>6</v>
      </c>
      <c r="F1311" s="157" t="s">
        <v>3111</v>
      </c>
    </row>
    <row r="1312" spans="1:6" ht="15" customHeight="1">
      <c r="A1312" s="155">
        <v>31</v>
      </c>
      <c r="B1312" s="161" t="s">
        <v>3081</v>
      </c>
      <c r="C1312" s="162" t="s">
        <v>3112</v>
      </c>
      <c r="D1312" s="162" t="str">
        <f t="shared" si="21"/>
        <v>鳥取県米子市</v>
      </c>
      <c r="E1312" s="161">
        <v>6</v>
      </c>
      <c r="F1312" s="157" t="s">
        <v>3113</v>
      </c>
    </row>
    <row r="1313" spans="1:6" ht="15" customHeight="1">
      <c r="A1313" s="155">
        <v>31</v>
      </c>
      <c r="B1313" s="161" t="s">
        <v>3081</v>
      </c>
      <c r="C1313" s="162" t="s">
        <v>3114</v>
      </c>
      <c r="D1313" s="162" t="str">
        <f t="shared" si="21"/>
        <v>鳥取県若桜町</v>
      </c>
      <c r="E1313" s="161">
        <v>4</v>
      </c>
      <c r="F1313" s="157" t="s">
        <v>2123</v>
      </c>
    </row>
    <row r="1314" spans="1:6" ht="15" customHeight="1">
      <c r="A1314" s="155">
        <v>32</v>
      </c>
      <c r="B1314" s="161" t="s">
        <v>619</v>
      </c>
      <c r="C1314" s="162" t="s">
        <v>3115</v>
      </c>
      <c r="D1314" s="162" t="str">
        <f t="shared" si="21"/>
        <v>島根県海士町</v>
      </c>
      <c r="E1314" s="161">
        <v>6</v>
      </c>
      <c r="F1314" s="157" t="s">
        <v>3116</v>
      </c>
    </row>
    <row r="1315" spans="1:6" ht="15" customHeight="1">
      <c r="A1315" s="155">
        <v>32</v>
      </c>
      <c r="B1315" s="161" t="s">
        <v>619</v>
      </c>
      <c r="C1315" s="162" t="s">
        <v>3117</v>
      </c>
      <c r="D1315" s="162" t="str">
        <f t="shared" si="21"/>
        <v>島根県飯南町</v>
      </c>
      <c r="E1315" s="161">
        <v>4</v>
      </c>
      <c r="F1315" s="157" t="s">
        <v>3118</v>
      </c>
    </row>
    <row r="1316" spans="1:6" ht="15" customHeight="1">
      <c r="A1316" s="155">
        <v>32</v>
      </c>
      <c r="B1316" s="161" t="s">
        <v>619</v>
      </c>
      <c r="C1316" s="162" t="s">
        <v>3119</v>
      </c>
      <c r="D1316" s="162" t="str">
        <f t="shared" si="21"/>
        <v>島根県出雲市</v>
      </c>
      <c r="E1316" s="161">
        <v>6</v>
      </c>
      <c r="F1316" s="157" t="s">
        <v>3120</v>
      </c>
    </row>
    <row r="1317" spans="1:6" ht="15" customHeight="1">
      <c r="A1317" s="155">
        <v>32</v>
      </c>
      <c r="B1317" s="161" t="s">
        <v>619</v>
      </c>
      <c r="C1317" s="162" t="s">
        <v>3121</v>
      </c>
      <c r="D1317" s="162" t="str">
        <f t="shared" si="21"/>
        <v>島根県雲南市</v>
      </c>
      <c r="E1317" s="161">
        <v>5</v>
      </c>
      <c r="F1317" s="157" t="s">
        <v>3122</v>
      </c>
    </row>
    <row r="1318" spans="1:6" ht="15" customHeight="1">
      <c r="A1318" s="155">
        <v>32</v>
      </c>
      <c r="B1318" s="161" t="s">
        <v>619</v>
      </c>
      <c r="C1318" s="162" t="s">
        <v>3123</v>
      </c>
      <c r="D1318" s="162" t="str">
        <f t="shared" si="21"/>
        <v>島根県大田市</v>
      </c>
      <c r="E1318" s="161">
        <v>6</v>
      </c>
      <c r="F1318" s="157" t="s">
        <v>3124</v>
      </c>
    </row>
    <row r="1319" spans="1:6" ht="15" customHeight="1">
      <c r="A1319" s="155">
        <v>32</v>
      </c>
      <c r="B1319" s="161" t="s">
        <v>619</v>
      </c>
      <c r="C1319" s="162" t="s">
        <v>3125</v>
      </c>
      <c r="D1319" s="162" t="str">
        <f t="shared" si="21"/>
        <v>島根県邑南町</v>
      </c>
      <c r="E1319" s="161">
        <v>5</v>
      </c>
      <c r="F1319" s="157" t="s">
        <v>3126</v>
      </c>
    </row>
    <row r="1320" spans="1:6" ht="15" customHeight="1">
      <c r="A1320" s="155">
        <v>32</v>
      </c>
      <c r="B1320" s="161" t="s">
        <v>619</v>
      </c>
      <c r="C1320" s="162" t="s">
        <v>3127</v>
      </c>
      <c r="D1320" s="162" t="str">
        <f t="shared" si="21"/>
        <v>島根県隠岐の島町</v>
      </c>
      <c r="E1320" s="161">
        <v>6</v>
      </c>
      <c r="F1320" s="157" t="s">
        <v>3128</v>
      </c>
    </row>
    <row r="1321" spans="1:6" ht="15" customHeight="1">
      <c r="A1321" s="155">
        <v>32</v>
      </c>
      <c r="B1321" s="161" t="s">
        <v>619</v>
      </c>
      <c r="C1321" s="162" t="s">
        <v>3129</v>
      </c>
      <c r="D1321" s="162" t="str">
        <f t="shared" si="21"/>
        <v>島根県奥出雲町</v>
      </c>
      <c r="E1321" s="161">
        <v>5</v>
      </c>
      <c r="F1321" s="157" t="s">
        <v>3130</v>
      </c>
    </row>
    <row r="1322" spans="1:6" ht="15" customHeight="1">
      <c r="A1322" s="155">
        <v>32</v>
      </c>
      <c r="B1322" s="161" t="s">
        <v>619</v>
      </c>
      <c r="C1322" s="162" t="s">
        <v>3131</v>
      </c>
      <c r="D1322" s="162" t="str">
        <f t="shared" si="21"/>
        <v>島根県川本町</v>
      </c>
      <c r="E1322" s="161">
        <v>5</v>
      </c>
      <c r="F1322" s="157" t="s">
        <v>3132</v>
      </c>
    </row>
    <row r="1323" spans="1:6" ht="15" customHeight="1">
      <c r="A1323" s="155">
        <v>32</v>
      </c>
      <c r="B1323" s="161" t="s">
        <v>619</v>
      </c>
      <c r="C1323" s="162" t="s">
        <v>3133</v>
      </c>
      <c r="D1323" s="162" t="str">
        <f t="shared" si="21"/>
        <v>島根県江津市</v>
      </c>
      <c r="E1323" s="161">
        <v>6</v>
      </c>
      <c r="F1323" s="157" t="s">
        <v>3134</v>
      </c>
    </row>
    <row r="1324" spans="1:6" ht="15" customHeight="1">
      <c r="A1324" s="155">
        <v>32</v>
      </c>
      <c r="B1324" s="161" t="s">
        <v>619</v>
      </c>
      <c r="C1324" s="162" t="s">
        <v>3135</v>
      </c>
      <c r="D1324" s="162" t="str">
        <f t="shared" si="21"/>
        <v>島根県知夫村</v>
      </c>
      <c r="E1324" s="161">
        <v>6</v>
      </c>
      <c r="F1324" s="157" t="s">
        <v>3136</v>
      </c>
    </row>
    <row r="1325" spans="1:6" ht="15" customHeight="1">
      <c r="A1325" s="155">
        <v>32</v>
      </c>
      <c r="B1325" s="161" t="s">
        <v>619</v>
      </c>
      <c r="C1325" s="162" t="s">
        <v>3137</v>
      </c>
      <c r="D1325" s="162" t="str">
        <f t="shared" si="21"/>
        <v>島根県津和野町</v>
      </c>
      <c r="E1325" s="161">
        <v>5</v>
      </c>
      <c r="F1325" s="157" t="s">
        <v>3138</v>
      </c>
    </row>
    <row r="1326" spans="1:6" ht="15" customHeight="1">
      <c r="A1326" s="155">
        <v>32</v>
      </c>
      <c r="B1326" s="161" t="s">
        <v>619</v>
      </c>
      <c r="C1326" s="162" t="s">
        <v>3139</v>
      </c>
      <c r="D1326" s="162" t="str">
        <f t="shared" si="21"/>
        <v>島根県西ノ島町</v>
      </c>
      <c r="E1326" s="161">
        <v>6</v>
      </c>
      <c r="F1326" s="157" t="s">
        <v>3140</v>
      </c>
    </row>
    <row r="1327" spans="1:6" ht="15" customHeight="1">
      <c r="A1327" s="155">
        <v>32</v>
      </c>
      <c r="B1327" s="161" t="s">
        <v>619</v>
      </c>
      <c r="C1327" s="162" t="s">
        <v>3141</v>
      </c>
      <c r="D1327" s="162" t="str">
        <f t="shared" si="21"/>
        <v>島根県浜田市</v>
      </c>
      <c r="E1327" s="161">
        <v>6</v>
      </c>
      <c r="F1327" s="157" t="s">
        <v>3142</v>
      </c>
    </row>
    <row r="1328" spans="1:6" ht="15" customHeight="1">
      <c r="A1328" s="155">
        <v>32</v>
      </c>
      <c r="B1328" s="161" t="s">
        <v>619</v>
      </c>
      <c r="C1328" s="162" t="s">
        <v>3143</v>
      </c>
      <c r="D1328" s="162" t="str">
        <f t="shared" si="21"/>
        <v>島根県益田市（旧益田市に限る。）</v>
      </c>
      <c r="E1328" s="161">
        <v>6</v>
      </c>
      <c r="F1328" s="157" t="s">
        <v>3144</v>
      </c>
    </row>
    <row r="1329" spans="1:6" ht="15" customHeight="1">
      <c r="A1329" s="155">
        <v>32</v>
      </c>
      <c r="B1329" s="161" t="s">
        <v>619</v>
      </c>
      <c r="C1329" s="162" t="s">
        <v>3145</v>
      </c>
      <c r="D1329" s="162" t="str">
        <f t="shared" si="21"/>
        <v>島根県益田市(旧美都町、旧匹見町に限る。)</v>
      </c>
      <c r="E1329" s="161">
        <v>5</v>
      </c>
      <c r="F1329" s="157" t="s">
        <v>3146</v>
      </c>
    </row>
    <row r="1330" spans="1:6" ht="15" customHeight="1">
      <c r="A1330" s="155">
        <v>32</v>
      </c>
      <c r="B1330" s="161" t="s">
        <v>619</v>
      </c>
      <c r="C1330" s="162" t="s">
        <v>3147</v>
      </c>
      <c r="D1330" s="162" t="str">
        <f t="shared" si="21"/>
        <v>島根県松江市</v>
      </c>
      <c r="E1330" s="161">
        <v>6</v>
      </c>
      <c r="F1330" s="157" t="s">
        <v>3148</v>
      </c>
    </row>
    <row r="1331" spans="1:6" ht="15" customHeight="1">
      <c r="A1331" s="155">
        <v>32</v>
      </c>
      <c r="B1331" s="161" t="s">
        <v>619</v>
      </c>
      <c r="C1331" s="162" t="s">
        <v>1206</v>
      </c>
      <c r="D1331" s="162" t="str">
        <f t="shared" si="21"/>
        <v>島根県美郷町</v>
      </c>
      <c r="E1331" s="161">
        <v>5</v>
      </c>
      <c r="F1331" s="157" t="s">
        <v>1148</v>
      </c>
    </row>
    <row r="1332" spans="1:6" ht="15" customHeight="1">
      <c r="A1332" s="155">
        <v>32</v>
      </c>
      <c r="B1332" s="161" t="s">
        <v>619</v>
      </c>
      <c r="C1332" s="162" t="s">
        <v>3149</v>
      </c>
      <c r="D1332" s="162" t="str">
        <f t="shared" si="21"/>
        <v>島根県安来市</v>
      </c>
      <c r="E1332" s="161">
        <v>6</v>
      </c>
      <c r="F1332" s="157" t="s">
        <v>3150</v>
      </c>
    </row>
    <row r="1333" spans="1:6" ht="15" customHeight="1">
      <c r="A1333" s="155">
        <v>32</v>
      </c>
      <c r="B1333" s="161" t="s">
        <v>619</v>
      </c>
      <c r="C1333" s="162" t="s">
        <v>3151</v>
      </c>
      <c r="D1333" s="162" t="str">
        <f t="shared" si="21"/>
        <v>島根県吉賀町</v>
      </c>
      <c r="E1333" s="161">
        <v>4</v>
      </c>
      <c r="F1333" s="157" t="s">
        <v>3152</v>
      </c>
    </row>
    <row r="1334" spans="1:6" ht="15" customHeight="1">
      <c r="A1334" s="155">
        <v>33</v>
      </c>
      <c r="B1334" s="161" t="s">
        <v>3153</v>
      </c>
      <c r="C1334" s="162" t="s">
        <v>3154</v>
      </c>
      <c r="D1334" s="162" t="str">
        <f t="shared" si="21"/>
        <v>岡山県赤磐市</v>
      </c>
      <c r="E1334" s="161">
        <v>6</v>
      </c>
      <c r="F1334" s="157" t="s">
        <v>3155</v>
      </c>
    </row>
    <row r="1335" spans="1:6" ht="15" customHeight="1">
      <c r="A1335" s="155">
        <v>33</v>
      </c>
      <c r="B1335" s="161" t="s">
        <v>3153</v>
      </c>
      <c r="C1335" s="162" t="s">
        <v>3156</v>
      </c>
      <c r="D1335" s="162" t="str">
        <f t="shared" si="21"/>
        <v>岡山県浅口市</v>
      </c>
      <c r="E1335" s="161">
        <v>6</v>
      </c>
      <c r="F1335" s="157" t="s">
        <v>3157</v>
      </c>
    </row>
    <row r="1336" spans="1:6" ht="15" customHeight="1">
      <c r="A1336" s="155">
        <v>33</v>
      </c>
      <c r="B1336" s="161" t="s">
        <v>3153</v>
      </c>
      <c r="C1336" s="162" t="s">
        <v>3158</v>
      </c>
      <c r="D1336" s="162" t="str">
        <f t="shared" si="21"/>
        <v>岡山県井原市</v>
      </c>
      <c r="E1336" s="161">
        <v>6</v>
      </c>
      <c r="F1336" s="157" t="s">
        <v>3159</v>
      </c>
    </row>
    <row r="1337" spans="1:6" ht="15" customHeight="1">
      <c r="A1337" s="155">
        <v>33</v>
      </c>
      <c r="B1337" s="161" t="s">
        <v>3153</v>
      </c>
      <c r="C1337" s="162" t="s">
        <v>3160</v>
      </c>
      <c r="D1337" s="162" t="str">
        <f t="shared" si="21"/>
        <v>岡山県岡山市</v>
      </c>
      <c r="E1337" s="161">
        <v>6</v>
      </c>
      <c r="F1337" s="157" t="s">
        <v>3161</v>
      </c>
    </row>
    <row r="1338" spans="1:6" ht="15" customHeight="1">
      <c r="A1338" s="155">
        <v>33</v>
      </c>
      <c r="B1338" s="161" t="s">
        <v>3153</v>
      </c>
      <c r="C1338" s="162" t="s">
        <v>3162</v>
      </c>
      <c r="D1338" s="162" t="str">
        <f t="shared" si="21"/>
        <v>岡山県鏡野町</v>
      </c>
      <c r="E1338" s="161">
        <v>5</v>
      </c>
      <c r="F1338" s="157" t="s">
        <v>3163</v>
      </c>
    </row>
    <row r="1339" spans="1:6" ht="15" customHeight="1">
      <c r="A1339" s="155">
        <v>33</v>
      </c>
      <c r="B1339" s="161" t="s">
        <v>3153</v>
      </c>
      <c r="C1339" s="162" t="s">
        <v>3164</v>
      </c>
      <c r="D1339" s="162" t="str">
        <f t="shared" si="21"/>
        <v>岡山県笠岡市</v>
      </c>
      <c r="E1339" s="161">
        <v>6</v>
      </c>
      <c r="F1339" s="157" t="s">
        <v>3165</v>
      </c>
    </row>
    <row r="1340" spans="1:6" ht="15" customHeight="1">
      <c r="A1340" s="155">
        <v>33</v>
      </c>
      <c r="B1340" s="161" t="s">
        <v>3153</v>
      </c>
      <c r="C1340" s="162" t="s">
        <v>3166</v>
      </c>
      <c r="D1340" s="162" t="str">
        <f t="shared" si="21"/>
        <v>岡山県吉備中央町</v>
      </c>
      <c r="E1340" s="161">
        <v>4</v>
      </c>
      <c r="F1340" s="157" t="s">
        <v>3167</v>
      </c>
    </row>
    <row r="1341" spans="1:6" ht="15" customHeight="1">
      <c r="A1341" s="155">
        <v>33</v>
      </c>
      <c r="B1341" s="161" t="s">
        <v>3153</v>
      </c>
      <c r="C1341" s="162" t="s">
        <v>3168</v>
      </c>
      <c r="D1341" s="162" t="str">
        <f t="shared" si="21"/>
        <v>岡山県久米南町</v>
      </c>
      <c r="E1341" s="161">
        <v>5</v>
      </c>
      <c r="F1341" s="157" t="s">
        <v>3169</v>
      </c>
    </row>
    <row r="1342" spans="1:6" ht="15" customHeight="1">
      <c r="A1342" s="155">
        <v>33</v>
      </c>
      <c r="B1342" s="161" t="s">
        <v>3153</v>
      </c>
      <c r="C1342" s="162" t="s">
        <v>3170</v>
      </c>
      <c r="D1342" s="162" t="str">
        <f t="shared" si="21"/>
        <v>岡山県倉敷市</v>
      </c>
      <c r="E1342" s="161">
        <v>6</v>
      </c>
      <c r="F1342" s="157" t="s">
        <v>3171</v>
      </c>
    </row>
    <row r="1343" spans="1:6" ht="15" customHeight="1">
      <c r="A1343" s="155">
        <v>33</v>
      </c>
      <c r="B1343" s="161" t="s">
        <v>3153</v>
      </c>
      <c r="C1343" s="162" t="s">
        <v>3172</v>
      </c>
      <c r="D1343" s="162" t="str">
        <f t="shared" si="21"/>
        <v>岡山県里庄町</v>
      </c>
      <c r="E1343" s="161">
        <v>6</v>
      </c>
      <c r="F1343" s="157" t="s">
        <v>3173</v>
      </c>
    </row>
    <row r="1344" spans="1:6" ht="15" customHeight="1">
      <c r="A1344" s="155">
        <v>33</v>
      </c>
      <c r="B1344" s="161" t="s">
        <v>3153</v>
      </c>
      <c r="C1344" s="162" t="s">
        <v>3174</v>
      </c>
      <c r="D1344" s="162" t="str">
        <f t="shared" si="21"/>
        <v>岡山県勝央町</v>
      </c>
      <c r="E1344" s="161">
        <v>5</v>
      </c>
      <c r="F1344" s="157" t="s">
        <v>3175</v>
      </c>
    </row>
    <row r="1345" spans="1:6" ht="15" customHeight="1">
      <c r="A1345" s="155">
        <v>33</v>
      </c>
      <c r="B1345" s="161" t="s">
        <v>3153</v>
      </c>
      <c r="C1345" s="162" t="s">
        <v>3176</v>
      </c>
      <c r="D1345" s="162" t="str">
        <f t="shared" si="21"/>
        <v>岡山県新庄村</v>
      </c>
      <c r="E1345" s="161">
        <v>4</v>
      </c>
      <c r="F1345" s="157" t="s">
        <v>3177</v>
      </c>
    </row>
    <row r="1346" spans="1:6" ht="15" customHeight="1">
      <c r="A1346" s="155">
        <v>33</v>
      </c>
      <c r="B1346" s="161" t="s">
        <v>3153</v>
      </c>
      <c r="C1346" s="162" t="s">
        <v>3178</v>
      </c>
      <c r="D1346" s="162" t="str">
        <f t="shared" si="21"/>
        <v>岡山県瀬戸内市</v>
      </c>
      <c r="E1346" s="161">
        <v>6</v>
      </c>
      <c r="F1346" s="157" t="s">
        <v>3179</v>
      </c>
    </row>
    <row r="1347" spans="1:6" ht="15" customHeight="1">
      <c r="A1347" s="155">
        <v>33</v>
      </c>
      <c r="B1347" s="161" t="s">
        <v>3153</v>
      </c>
      <c r="C1347" s="162" t="s">
        <v>3180</v>
      </c>
      <c r="D1347" s="162" t="str">
        <f t="shared" si="21"/>
        <v>岡山県総社市</v>
      </c>
      <c r="E1347" s="161">
        <v>6</v>
      </c>
      <c r="F1347" s="157" t="s">
        <v>3181</v>
      </c>
    </row>
    <row r="1348" spans="1:6" ht="15" customHeight="1">
      <c r="A1348" s="155">
        <v>33</v>
      </c>
      <c r="B1348" s="161" t="s">
        <v>3153</v>
      </c>
      <c r="C1348" s="162" t="s">
        <v>3182</v>
      </c>
      <c r="D1348" s="162" t="str">
        <f t="shared" ref="D1348:D1411" si="22">B1348&amp;C1348</f>
        <v>岡山県高梁市</v>
      </c>
      <c r="E1348" s="161">
        <v>5</v>
      </c>
      <c r="F1348" s="157" t="s">
        <v>3183</v>
      </c>
    </row>
    <row r="1349" spans="1:6" ht="15" customHeight="1">
      <c r="A1349" s="155">
        <v>33</v>
      </c>
      <c r="B1349" s="161" t="s">
        <v>3153</v>
      </c>
      <c r="C1349" s="162" t="s">
        <v>3184</v>
      </c>
      <c r="D1349" s="162" t="str">
        <f t="shared" si="22"/>
        <v>岡山県玉野市</v>
      </c>
      <c r="E1349" s="161">
        <v>6</v>
      </c>
      <c r="F1349" s="157" t="s">
        <v>3185</v>
      </c>
    </row>
    <row r="1350" spans="1:6" ht="15" customHeight="1">
      <c r="A1350" s="155">
        <v>33</v>
      </c>
      <c r="B1350" s="161" t="s">
        <v>3153</v>
      </c>
      <c r="C1350" s="162" t="s">
        <v>3186</v>
      </c>
      <c r="D1350" s="162" t="str">
        <f t="shared" si="22"/>
        <v>岡山県津山市(旧阿波村に限る。)</v>
      </c>
      <c r="E1350" s="161">
        <v>4</v>
      </c>
      <c r="F1350" s="157" t="s">
        <v>3187</v>
      </c>
    </row>
    <row r="1351" spans="1:6" ht="15" customHeight="1">
      <c r="A1351" s="155">
        <v>33</v>
      </c>
      <c r="B1351" s="161" t="s">
        <v>3153</v>
      </c>
      <c r="C1351" s="162" t="s">
        <v>3188</v>
      </c>
      <c r="D1351" s="162" t="str">
        <f t="shared" si="22"/>
        <v>岡山県津山市(旧津山市、旧加茂町、旧勝北町、旧久米町に限る。)</v>
      </c>
      <c r="E1351" s="161">
        <v>5</v>
      </c>
      <c r="F1351" s="157" t="s">
        <v>3189</v>
      </c>
    </row>
    <row r="1352" spans="1:6" ht="15" customHeight="1">
      <c r="A1352" s="155">
        <v>33</v>
      </c>
      <c r="B1352" s="161" t="s">
        <v>3153</v>
      </c>
      <c r="C1352" s="162" t="s">
        <v>3190</v>
      </c>
      <c r="D1352" s="162" t="str">
        <f t="shared" si="22"/>
        <v>岡山県奈義町</v>
      </c>
      <c r="E1352" s="161">
        <v>5</v>
      </c>
      <c r="F1352" s="157" t="s">
        <v>3191</v>
      </c>
    </row>
    <row r="1353" spans="1:6" ht="15" customHeight="1">
      <c r="A1353" s="155">
        <v>33</v>
      </c>
      <c r="B1353" s="161" t="s">
        <v>3153</v>
      </c>
      <c r="C1353" s="162" t="s">
        <v>3192</v>
      </c>
      <c r="D1353" s="162" t="str">
        <f t="shared" si="22"/>
        <v>岡山県新見市</v>
      </c>
      <c r="E1353" s="161">
        <v>5</v>
      </c>
      <c r="F1353" s="157" t="s">
        <v>3193</v>
      </c>
    </row>
    <row r="1354" spans="1:6" ht="15" customHeight="1">
      <c r="A1354" s="155">
        <v>33</v>
      </c>
      <c r="B1354" s="161" t="s">
        <v>3153</v>
      </c>
      <c r="C1354" s="162" t="s">
        <v>3194</v>
      </c>
      <c r="D1354" s="162" t="str">
        <f t="shared" si="22"/>
        <v>岡山県西粟倉村</v>
      </c>
      <c r="E1354" s="161">
        <v>4</v>
      </c>
      <c r="F1354" s="157" t="s">
        <v>3195</v>
      </c>
    </row>
    <row r="1355" spans="1:6" ht="15" customHeight="1">
      <c r="A1355" s="155">
        <v>33</v>
      </c>
      <c r="B1355" s="161" t="s">
        <v>3153</v>
      </c>
      <c r="C1355" s="162" t="s">
        <v>3196</v>
      </c>
      <c r="D1355" s="162" t="str">
        <f t="shared" si="22"/>
        <v>岡山県早島町</v>
      </c>
      <c r="E1355" s="161">
        <v>6</v>
      </c>
      <c r="F1355" s="157" t="s">
        <v>3197</v>
      </c>
    </row>
    <row r="1356" spans="1:6" ht="15" customHeight="1">
      <c r="A1356" s="155">
        <v>33</v>
      </c>
      <c r="B1356" s="161" t="s">
        <v>3153</v>
      </c>
      <c r="C1356" s="162" t="s">
        <v>3198</v>
      </c>
      <c r="D1356" s="162" t="str">
        <f t="shared" si="22"/>
        <v>岡山県備前市</v>
      </c>
      <c r="E1356" s="161">
        <v>5</v>
      </c>
      <c r="F1356" s="157" t="s">
        <v>3199</v>
      </c>
    </row>
    <row r="1357" spans="1:6" ht="15" customHeight="1">
      <c r="A1357" s="155">
        <v>33</v>
      </c>
      <c r="B1357" s="161" t="s">
        <v>3153</v>
      </c>
      <c r="C1357" s="162" t="s">
        <v>3200</v>
      </c>
      <c r="D1357" s="162" t="str">
        <f t="shared" si="22"/>
        <v>岡山県真庭市(旧北房町、旧勝山町、旧落合町、旧久世町に限る。)</v>
      </c>
      <c r="E1357" s="161">
        <v>5</v>
      </c>
      <c r="F1357" s="157" t="s">
        <v>3201</v>
      </c>
    </row>
    <row r="1358" spans="1:6" ht="15" customHeight="1">
      <c r="A1358" s="155">
        <v>33</v>
      </c>
      <c r="B1358" s="161" t="s">
        <v>3153</v>
      </c>
      <c r="C1358" s="162" t="s">
        <v>3202</v>
      </c>
      <c r="D1358" s="162" t="str">
        <f t="shared" si="22"/>
        <v>岡山県真庭市(旧湯原町、旧美甘村、旧川上村、旧八束村、旧中和村に限る。)</v>
      </c>
      <c r="E1358" s="161">
        <v>4</v>
      </c>
      <c r="F1358" s="157" t="s">
        <v>3203</v>
      </c>
    </row>
    <row r="1359" spans="1:6" ht="15" customHeight="1">
      <c r="A1359" s="155">
        <v>33</v>
      </c>
      <c r="B1359" s="161" t="s">
        <v>3153</v>
      </c>
      <c r="C1359" s="162" t="s">
        <v>3204</v>
      </c>
      <c r="D1359" s="162" t="str">
        <f t="shared" si="22"/>
        <v>岡山県美咲町</v>
      </c>
      <c r="E1359" s="161">
        <v>5</v>
      </c>
      <c r="F1359" s="157" t="s">
        <v>2846</v>
      </c>
    </row>
    <row r="1360" spans="1:6" ht="15" customHeight="1">
      <c r="A1360" s="155">
        <v>33</v>
      </c>
      <c r="B1360" s="161" t="s">
        <v>3153</v>
      </c>
      <c r="C1360" s="162" t="s">
        <v>3205</v>
      </c>
      <c r="D1360" s="162" t="str">
        <f t="shared" si="22"/>
        <v>岡山県美作市</v>
      </c>
      <c r="E1360" s="161">
        <v>5</v>
      </c>
      <c r="F1360" s="157" t="s">
        <v>3206</v>
      </c>
    </row>
    <row r="1361" spans="1:6" ht="15" customHeight="1">
      <c r="A1361" s="155">
        <v>33</v>
      </c>
      <c r="B1361" s="161" t="s">
        <v>3153</v>
      </c>
      <c r="C1361" s="162" t="s">
        <v>3207</v>
      </c>
      <c r="D1361" s="162" t="str">
        <f t="shared" si="22"/>
        <v>岡山県矢掛町</v>
      </c>
      <c r="E1361" s="161">
        <v>6</v>
      </c>
      <c r="F1361" s="157" t="s">
        <v>3208</v>
      </c>
    </row>
    <row r="1362" spans="1:6" ht="15" customHeight="1">
      <c r="A1362" s="155">
        <v>33</v>
      </c>
      <c r="B1362" s="161" t="s">
        <v>3153</v>
      </c>
      <c r="C1362" s="162" t="s">
        <v>3209</v>
      </c>
      <c r="D1362" s="162" t="str">
        <f t="shared" si="22"/>
        <v>岡山県和気町</v>
      </c>
      <c r="E1362" s="161">
        <v>5</v>
      </c>
      <c r="F1362" s="157" t="s">
        <v>3210</v>
      </c>
    </row>
    <row r="1363" spans="1:6" ht="15" customHeight="1">
      <c r="A1363" s="155">
        <v>34</v>
      </c>
      <c r="B1363" s="161" t="s">
        <v>3211</v>
      </c>
      <c r="C1363" s="162" t="s">
        <v>3212</v>
      </c>
      <c r="D1363" s="162" t="str">
        <f t="shared" si="22"/>
        <v>広島県安芸太田町</v>
      </c>
      <c r="E1363" s="161">
        <v>4</v>
      </c>
      <c r="F1363" s="157" t="s">
        <v>3213</v>
      </c>
    </row>
    <row r="1364" spans="1:6" ht="15" customHeight="1">
      <c r="A1364" s="155">
        <v>34</v>
      </c>
      <c r="B1364" s="161" t="s">
        <v>3211</v>
      </c>
      <c r="C1364" s="162" t="s">
        <v>3214</v>
      </c>
      <c r="D1364" s="162" t="str">
        <f t="shared" si="22"/>
        <v>広島県安芸高田市</v>
      </c>
      <c r="E1364" s="161">
        <v>5</v>
      </c>
      <c r="F1364" s="157" t="s">
        <v>3215</v>
      </c>
    </row>
    <row r="1365" spans="1:6" ht="15" customHeight="1">
      <c r="A1365" s="155">
        <v>34</v>
      </c>
      <c r="B1365" s="161" t="s">
        <v>3211</v>
      </c>
      <c r="C1365" s="162" t="s">
        <v>3216</v>
      </c>
      <c r="D1365" s="162" t="str">
        <f t="shared" si="22"/>
        <v>広島県江田島市</v>
      </c>
      <c r="E1365" s="161">
        <v>6</v>
      </c>
      <c r="F1365" s="157" t="s">
        <v>3217</v>
      </c>
    </row>
    <row r="1366" spans="1:6" ht="15" customHeight="1">
      <c r="A1366" s="155">
        <v>34</v>
      </c>
      <c r="B1366" s="161" t="s">
        <v>3211</v>
      </c>
      <c r="C1366" s="162" t="s">
        <v>3218</v>
      </c>
      <c r="D1366" s="162" t="str">
        <f t="shared" si="22"/>
        <v>広島県大崎上島町</v>
      </c>
      <c r="E1366" s="161">
        <v>6</v>
      </c>
      <c r="F1366" s="157" t="s">
        <v>3219</v>
      </c>
    </row>
    <row r="1367" spans="1:6" ht="15" customHeight="1">
      <c r="A1367" s="155">
        <v>34</v>
      </c>
      <c r="B1367" s="161" t="s">
        <v>3211</v>
      </c>
      <c r="C1367" s="162" t="s">
        <v>3220</v>
      </c>
      <c r="D1367" s="162" t="str">
        <f t="shared" si="22"/>
        <v>広島県大竹市</v>
      </c>
      <c r="E1367" s="161">
        <v>6</v>
      </c>
      <c r="F1367" s="157" t="s">
        <v>3221</v>
      </c>
    </row>
    <row r="1368" spans="1:6" ht="15" customHeight="1">
      <c r="A1368" s="155">
        <v>34</v>
      </c>
      <c r="B1368" s="161" t="s">
        <v>3211</v>
      </c>
      <c r="C1368" s="162" t="s">
        <v>3222</v>
      </c>
      <c r="D1368" s="162" t="str">
        <f t="shared" si="22"/>
        <v>広島県尾道市</v>
      </c>
      <c r="E1368" s="161">
        <v>6</v>
      </c>
      <c r="F1368" s="157" t="s">
        <v>3223</v>
      </c>
    </row>
    <row r="1369" spans="1:6" ht="15" customHeight="1">
      <c r="A1369" s="155">
        <v>34</v>
      </c>
      <c r="B1369" s="161" t="s">
        <v>3211</v>
      </c>
      <c r="C1369" s="162" t="s">
        <v>3224</v>
      </c>
      <c r="D1369" s="162" t="str">
        <f t="shared" si="22"/>
        <v>広島県海田町</v>
      </c>
      <c r="E1369" s="161">
        <v>6</v>
      </c>
      <c r="F1369" s="157" t="s">
        <v>3225</v>
      </c>
    </row>
    <row r="1370" spans="1:6" ht="15" customHeight="1">
      <c r="A1370" s="155">
        <v>34</v>
      </c>
      <c r="B1370" s="161" t="s">
        <v>3211</v>
      </c>
      <c r="C1370" s="162" t="s">
        <v>3226</v>
      </c>
      <c r="D1370" s="162" t="str">
        <f t="shared" si="22"/>
        <v>広島県北広島町</v>
      </c>
      <c r="E1370" s="161">
        <v>5</v>
      </c>
      <c r="F1370" s="157" t="s">
        <v>3227</v>
      </c>
    </row>
    <row r="1371" spans="1:6" ht="15" customHeight="1">
      <c r="A1371" s="155">
        <v>34</v>
      </c>
      <c r="B1371" s="161" t="s">
        <v>3211</v>
      </c>
      <c r="C1371" s="162" t="s">
        <v>3228</v>
      </c>
      <c r="D1371" s="162" t="str">
        <f t="shared" si="22"/>
        <v>広島県熊野町</v>
      </c>
      <c r="E1371" s="161">
        <v>5</v>
      </c>
      <c r="F1371" s="157" t="s">
        <v>3229</v>
      </c>
    </row>
    <row r="1372" spans="1:6" ht="15" customHeight="1">
      <c r="A1372" s="155">
        <v>34</v>
      </c>
      <c r="B1372" s="161" t="s">
        <v>3211</v>
      </c>
      <c r="C1372" s="162" t="s">
        <v>3230</v>
      </c>
      <c r="D1372" s="162" t="str">
        <f t="shared" si="22"/>
        <v>広島県呉市</v>
      </c>
      <c r="E1372" s="161">
        <v>6</v>
      </c>
      <c r="F1372" s="157" t="s">
        <v>3231</v>
      </c>
    </row>
    <row r="1373" spans="1:6" ht="15" customHeight="1">
      <c r="A1373" s="155">
        <v>34</v>
      </c>
      <c r="B1373" s="161" t="s">
        <v>3211</v>
      </c>
      <c r="C1373" s="162" t="s">
        <v>3232</v>
      </c>
      <c r="D1373" s="162" t="str">
        <f t="shared" si="22"/>
        <v>広島県坂町</v>
      </c>
      <c r="E1373" s="161">
        <v>6</v>
      </c>
      <c r="F1373" s="157" t="s">
        <v>3233</v>
      </c>
    </row>
    <row r="1374" spans="1:6" ht="15" customHeight="1">
      <c r="A1374" s="155">
        <v>34</v>
      </c>
      <c r="B1374" s="161" t="s">
        <v>3211</v>
      </c>
      <c r="C1374" s="162" t="s">
        <v>3234</v>
      </c>
      <c r="D1374" s="162" t="str">
        <f t="shared" si="22"/>
        <v>広島県庄原市（旧庄原市に限る。）</v>
      </c>
      <c r="E1374" s="161">
        <v>5</v>
      </c>
      <c r="F1374" s="157" t="s">
        <v>3235</v>
      </c>
    </row>
    <row r="1375" spans="1:6" ht="15" customHeight="1">
      <c r="A1375" s="155">
        <v>34</v>
      </c>
      <c r="B1375" s="161" t="s">
        <v>3211</v>
      </c>
      <c r="C1375" s="162" t="s">
        <v>3236</v>
      </c>
      <c r="D1375" s="162" t="str">
        <f t="shared" si="22"/>
        <v>広島県庄原市（旧総領町、旧西城町、旧東城町、旧口和町、旧高野町、旧比和町に限る。）</v>
      </c>
      <c r="E1375" s="161">
        <v>4</v>
      </c>
      <c r="F1375" s="157" t="s">
        <v>3237</v>
      </c>
    </row>
    <row r="1376" spans="1:6" ht="15" customHeight="1">
      <c r="A1376" s="155">
        <v>34</v>
      </c>
      <c r="B1376" s="161" t="s">
        <v>3211</v>
      </c>
      <c r="C1376" s="162" t="s">
        <v>3238</v>
      </c>
      <c r="D1376" s="162" t="str">
        <f t="shared" si="22"/>
        <v>広島県神石高原町</v>
      </c>
      <c r="E1376" s="161">
        <v>4</v>
      </c>
      <c r="F1376" s="157" t="s">
        <v>3239</v>
      </c>
    </row>
    <row r="1377" spans="1:6" ht="15" customHeight="1">
      <c r="A1377" s="155">
        <v>34</v>
      </c>
      <c r="B1377" s="161" t="s">
        <v>3211</v>
      </c>
      <c r="C1377" s="162" t="s">
        <v>3240</v>
      </c>
      <c r="D1377" s="162" t="str">
        <f t="shared" si="22"/>
        <v>広島県世羅町</v>
      </c>
      <c r="E1377" s="161">
        <v>4</v>
      </c>
      <c r="F1377" s="157" t="s">
        <v>3241</v>
      </c>
    </row>
    <row r="1378" spans="1:6" ht="15" customHeight="1">
      <c r="A1378" s="155">
        <v>34</v>
      </c>
      <c r="B1378" s="161" t="s">
        <v>3211</v>
      </c>
      <c r="C1378" s="162" t="s">
        <v>3242</v>
      </c>
      <c r="D1378" s="162" t="str">
        <f t="shared" si="22"/>
        <v>広島県竹原市</v>
      </c>
      <c r="E1378" s="161">
        <v>6</v>
      </c>
      <c r="F1378" s="157" t="s">
        <v>3243</v>
      </c>
    </row>
    <row r="1379" spans="1:6" ht="15" customHeight="1">
      <c r="A1379" s="155">
        <v>34</v>
      </c>
      <c r="B1379" s="161" t="s">
        <v>3211</v>
      </c>
      <c r="C1379" s="162" t="s">
        <v>3244</v>
      </c>
      <c r="D1379" s="162" t="str">
        <f t="shared" si="22"/>
        <v>広島県廿日市市（旧佐伯町、旧吉和村を除く。）</v>
      </c>
      <c r="E1379" s="161">
        <v>6</v>
      </c>
      <c r="F1379" s="157" t="s">
        <v>3245</v>
      </c>
    </row>
    <row r="1380" spans="1:6" ht="15" customHeight="1">
      <c r="A1380" s="155">
        <v>34</v>
      </c>
      <c r="B1380" s="161" t="s">
        <v>3211</v>
      </c>
      <c r="C1380" s="162" t="s">
        <v>3246</v>
      </c>
      <c r="D1380" s="162" t="str">
        <f t="shared" si="22"/>
        <v>広島県廿日市市（旧佐伯町に限る。）</v>
      </c>
      <c r="E1380" s="161">
        <v>5</v>
      </c>
      <c r="F1380" s="157" t="s">
        <v>3247</v>
      </c>
    </row>
    <row r="1381" spans="1:6" ht="15" customHeight="1">
      <c r="A1381" s="155">
        <v>34</v>
      </c>
      <c r="B1381" s="161" t="s">
        <v>3211</v>
      </c>
      <c r="C1381" s="162" t="s">
        <v>3248</v>
      </c>
      <c r="D1381" s="162" t="str">
        <f t="shared" si="22"/>
        <v>広島県廿日市市（旧吉和村に限る。）</v>
      </c>
      <c r="E1381" s="161">
        <v>3</v>
      </c>
      <c r="F1381" s="157" t="s">
        <v>3249</v>
      </c>
    </row>
    <row r="1382" spans="1:6" ht="15" customHeight="1">
      <c r="A1382" s="155">
        <v>34</v>
      </c>
      <c r="B1382" s="161" t="s">
        <v>3211</v>
      </c>
      <c r="C1382" s="162" t="s">
        <v>3250</v>
      </c>
      <c r="D1382" s="162" t="str">
        <f t="shared" si="22"/>
        <v>広島県東広島市</v>
      </c>
      <c r="E1382" s="161">
        <v>5</v>
      </c>
      <c r="F1382" s="157" t="s">
        <v>3251</v>
      </c>
    </row>
    <row r="1383" spans="1:6" ht="15" customHeight="1">
      <c r="A1383" s="155">
        <v>34</v>
      </c>
      <c r="B1383" s="161" t="s">
        <v>3211</v>
      </c>
      <c r="C1383" s="162" t="s">
        <v>3252</v>
      </c>
      <c r="D1383" s="162" t="str">
        <f t="shared" si="22"/>
        <v>広島県広島市</v>
      </c>
      <c r="E1383" s="161">
        <v>6</v>
      </c>
      <c r="F1383" s="157" t="s">
        <v>3253</v>
      </c>
    </row>
    <row r="1384" spans="1:6" ht="15" customHeight="1">
      <c r="A1384" s="155">
        <v>34</v>
      </c>
      <c r="B1384" s="161" t="s">
        <v>3211</v>
      </c>
      <c r="C1384" s="162" t="s">
        <v>3254</v>
      </c>
      <c r="D1384" s="162" t="str">
        <f t="shared" si="22"/>
        <v>広島県福山市</v>
      </c>
      <c r="E1384" s="161">
        <v>6</v>
      </c>
      <c r="F1384" s="157" t="s">
        <v>3255</v>
      </c>
    </row>
    <row r="1385" spans="1:6" ht="15" customHeight="1">
      <c r="A1385" s="155">
        <v>34</v>
      </c>
      <c r="B1385" s="161" t="s">
        <v>3211</v>
      </c>
      <c r="C1385" s="162" t="s">
        <v>1869</v>
      </c>
      <c r="D1385" s="162" t="str">
        <f t="shared" si="22"/>
        <v>広島県府中市</v>
      </c>
      <c r="E1385" s="161">
        <v>5</v>
      </c>
      <c r="F1385" s="157" t="s">
        <v>1870</v>
      </c>
    </row>
    <row r="1386" spans="1:6" ht="15" customHeight="1">
      <c r="A1386" s="155">
        <v>34</v>
      </c>
      <c r="B1386" s="161" t="s">
        <v>3211</v>
      </c>
      <c r="C1386" s="162" t="s">
        <v>3256</v>
      </c>
      <c r="D1386" s="162" t="str">
        <f t="shared" si="22"/>
        <v>広島県府中町</v>
      </c>
      <c r="E1386" s="161">
        <v>6</v>
      </c>
      <c r="F1386" s="157" t="s">
        <v>3257</v>
      </c>
    </row>
    <row r="1387" spans="1:6" ht="15" customHeight="1">
      <c r="A1387" s="155">
        <v>34</v>
      </c>
      <c r="B1387" s="161" t="s">
        <v>3211</v>
      </c>
      <c r="C1387" s="162" t="s">
        <v>3258</v>
      </c>
      <c r="D1387" s="162" t="str">
        <f t="shared" si="22"/>
        <v>広島県三原市</v>
      </c>
      <c r="E1387" s="161">
        <v>6</v>
      </c>
      <c r="F1387" s="157" t="s">
        <v>3259</v>
      </c>
    </row>
    <row r="1388" spans="1:6" ht="15" customHeight="1">
      <c r="A1388" s="155">
        <v>34</v>
      </c>
      <c r="B1388" s="161" t="s">
        <v>3211</v>
      </c>
      <c r="C1388" s="162" t="s">
        <v>3260</v>
      </c>
      <c r="D1388" s="162" t="str">
        <f t="shared" si="22"/>
        <v>広島県三次市</v>
      </c>
      <c r="E1388" s="161">
        <v>5</v>
      </c>
      <c r="F1388" s="157" t="s">
        <v>2614</v>
      </c>
    </row>
    <row r="1389" spans="1:6" ht="15" customHeight="1">
      <c r="A1389" s="155">
        <v>35</v>
      </c>
      <c r="B1389" s="161" t="s">
        <v>3261</v>
      </c>
      <c r="C1389" s="162" t="s">
        <v>3262</v>
      </c>
      <c r="D1389" s="162" t="str">
        <f t="shared" si="22"/>
        <v>山口県阿武町</v>
      </c>
      <c r="E1389" s="161">
        <v>6</v>
      </c>
      <c r="F1389" s="157" t="s">
        <v>3263</v>
      </c>
    </row>
    <row r="1390" spans="1:6" ht="15" customHeight="1">
      <c r="A1390" s="155">
        <v>35</v>
      </c>
      <c r="B1390" s="161" t="s">
        <v>3261</v>
      </c>
      <c r="C1390" s="162" t="s">
        <v>3264</v>
      </c>
      <c r="D1390" s="162" t="str">
        <f t="shared" si="22"/>
        <v>山口県岩国市</v>
      </c>
      <c r="E1390" s="161">
        <v>6</v>
      </c>
      <c r="F1390" s="157" t="s">
        <v>3265</v>
      </c>
    </row>
    <row r="1391" spans="1:6" ht="15" customHeight="1">
      <c r="A1391" s="155">
        <v>35</v>
      </c>
      <c r="B1391" s="161" t="s">
        <v>3261</v>
      </c>
      <c r="C1391" s="162" t="s">
        <v>3266</v>
      </c>
      <c r="D1391" s="162" t="str">
        <f t="shared" si="22"/>
        <v>山口県宇部市</v>
      </c>
      <c r="E1391" s="161">
        <v>6</v>
      </c>
      <c r="F1391" s="157" t="s">
        <v>3267</v>
      </c>
    </row>
    <row r="1392" spans="1:6" ht="15" customHeight="1">
      <c r="A1392" s="155">
        <v>35</v>
      </c>
      <c r="B1392" s="161" t="s">
        <v>3261</v>
      </c>
      <c r="C1392" s="162" t="s">
        <v>3268</v>
      </c>
      <c r="D1392" s="162" t="str">
        <f t="shared" si="22"/>
        <v>山口県上関町</v>
      </c>
      <c r="E1392" s="161">
        <v>6</v>
      </c>
      <c r="F1392" s="157" t="s">
        <v>3269</v>
      </c>
    </row>
    <row r="1393" spans="1:6" ht="15" customHeight="1">
      <c r="A1393" s="155">
        <v>35</v>
      </c>
      <c r="B1393" s="161" t="s">
        <v>3261</v>
      </c>
      <c r="C1393" s="162" t="s">
        <v>3270</v>
      </c>
      <c r="D1393" s="162" t="str">
        <f t="shared" si="22"/>
        <v>山口県下松市</v>
      </c>
      <c r="E1393" s="161">
        <v>6</v>
      </c>
      <c r="F1393" s="157" t="s">
        <v>3271</v>
      </c>
    </row>
    <row r="1394" spans="1:6" ht="15" customHeight="1">
      <c r="A1394" s="155">
        <v>35</v>
      </c>
      <c r="B1394" s="161" t="s">
        <v>3261</v>
      </c>
      <c r="C1394" s="162" t="s">
        <v>3272</v>
      </c>
      <c r="D1394" s="162" t="str">
        <f t="shared" si="22"/>
        <v>山口県山陽小野田市</v>
      </c>
      <c r="E1394" s="161">
        <v>6</v>
      </c>
      <c r="F1394" s="157" t="s">
        <v>3273</v>
      </c>
    </row>
    <row r="1395" spans="1:6" ht="15" customHeight="1">
      <c r="A1395" s="155">
        <v>35</v>
      </c>
      <c r="B1395" s="161" t="s">
        <v>3261</v>
      </c>
      <c r="C1395" s="162" t="s">
        <v>3274</v>
      </c>
      <c r="D1395" s="162" t="str">
        <f t="shared" si="22"/>
        <v>山口県下関市(旧豊田町に限る。)</v>
      </c>
      <c r="E1395" s="161">
        <v>5</v>
      </c>
      <c r="F1395" s="157" t="s">
        <v>3275</v>
      </c>
    </row>
    <row r="1396" spans="1:6" ht="15" customHeight="1">
      <c r="A1396" s="155">
        <v>35</v>
      </c>
      <c r="B1396" s="161" t="s">
        <v>3261</v>
      </c>
      <c r="C1396" s="162" t="s">
        <v>3276</v>
      </c>
      <c r="D1396" s="162" t="str">
        <f t="shared" si="22"/>
        <v>山口県下関市（旧豊田町を除く。）</v>
      </c>
      <c r="E1396" s="161">
        <v>7</v>
      </c>
      <c r="F1396" s="157" t="s">
        <v>3277</v>
      </c>
    </row>
    <row r="1397" spans="1:6" ht="15" customHeight="1">
      <c r="A1397" s="155">
        <v>35</v>
      </c>
      <c r="B1397" s="161" t="s">
        <v>3261</v>
      </c>
      <c r="C1397" s="162" t="s">
        <v>3278</v>
      </c>
      <c r="D1397" s="162" t="str">
        <f t="shared" si="22"/>
        <v>山口県周南市</v>
      </c>
      <c r="E1397" s="161">
        <v>6</v>
      </c>
      <c r="F1397" s="157" t="s">
        <v>3279</v>
      </c>
    </row>
    <row r="1398" spans="1:6" ht="15" customHeight="1">
      <c r="A1398" s="155">
        <v>35</v>
      </c>
      <c r="B1398" s="161" t="s">
        <v>3261</v>
      </c>
      <c r="C1398" s="162" t="s">
        <v>3280</v>
      </c>
      <c r="D1398" s="162" t="str">
        <f t="shared" si="22"/>
        <v>山口県周防大島町</v>
      </c>
      <c r="E1398" s="161">
        <v>6</v>
      </c>
      <c r="F1398" s="157" t="s">
        <v>3281</v>
      </c>
    </row>
    <row r="1399" spans="1:6" ht="15" customHeight="1">
      <c r="A1399" s="155">
        <v>35</v>
      </c>
      <c r="B1399" s="161" t="s">
        <v>3261</v>
      </c>
      <c r="C1399" s="162" t="s">
        <v>3282</v>
      </c>
      <c r="D1399" s="162" t="str">
        <f t="shared" si="22"/>
        <v>山口県田布施町</v>
      </c>
      <c r="E1399" s="161">
        <v>6</v>
      </c>
      <c r="F1399" s="157" t="s">
        <v>3283</v>
      </c>
    </row>
    <row r="1400" spans="1:6" ht="15" customHeight="1">
      <c r="A1400" s="155">
        <v>35</v>
      </c>
      <c r="B1400" s="161" t="s">
        <v>3261</v>
      </c>
      <c r="C1400" s="162" t="s">
        <v>3284</v>
      </c>
      <c r="D1400" s="162" t="str">
        <f t="shared" si="22"/>
        <v>山口県長門市</v>
      </c>
      <c r="E1400" s="161">
        <v>6</v>
      </c>
      <c r="F1400" s="157" t="s">
        <v>3285</v>
      </c>
    </row>
    <row r="1401" spans="1:6" ht="15" customHeight="1">
      <c r="A1401" s="155">
        <v>35</v>
      </c>
      <c r="B1401" s="161" t="s">
        <v>3261</v>
      </c>
      <c r="C1401" s="162" t="s">
        <v>3286</v>
      </c>
      <c r="D1401" s="162" t="str">
        <f t="shared" si="22"/>
        <v>山口県萩市(旧萩市、旧川上村、旧田万川町、旧須佐町、旧旭村に限る。)</v>
      </c>
      <c r="E1401" s="161">
        <v>6</v>
      </c>
      <c r="F1401" s="157" t="s">
        <v>3287</v>
      </c>
    </row>
    <row r="1402" spans="1:6" ht="15" customHeight="1">
      <c r="A1402" s="155">
        <v>35</v>
      </c>
      <c r="B1402" s="161" t="s">
        <v>3261</v>
      </c>
      <c r="C1402" s="162" t="s">
        <v>3288</v>
      </c>
      <c r="D1402" s="162" t="str">
        <f t="shared" si="22"/>
        <v>山口県萩市(旧むつみ村、旧福栄村に限る。)</v>
      </c>
      <c r="E1402" s="161">
        <v>5</v>
      </c>
      <c r="F1402" s="157" t="s">
        <v>3289</v>
      </c>
    </row>
    <row r="1403" spans="1:6" ht="15" customHeight="1">
      <c r="A1403" s="155">
        <v>35</v>
      </c>
      <c r="B1403" s="161" t="s">
        <v>3261</v>
      </c>
      <c r="C1403" s="162" t="s">
        <v>3290</v>
      </c>
      <c r="D1403" s="162" t="str">
        <f t="shared" si="22"/>
        <v>山口県光市</v>
      </c>
      <c r="E1403" s="161">
        <v>6</v>
      </c>
      <c r="F1403" s="157" t="s">
        <v>3291</v>
      </c>
    </row>
    <row r="1404" spans="1:6" ht="15" customHeight="1">
      <c r="A1404" s="155">
        <v>35</v>
      </c>
      <c r="B1404" s="161" t="s">
        <v>3261</v>
      </c>
      <c r="C1404" s="162" t="s">
        <v>3292</v>
      </c>
      <c r="D1404" s="162" t="str">
        <f t="shared" si="22"/>
        <v>山口県平生町</v>
      </c>
      <c r="E1404" s="161">
        <v>6</v>
      </c>
      <c r="F1404" s="157" t="s">
        <v>3293</v>
      </c>
    </row>
    <row r="1405" spans="1:6" ht="15" customHeight="1">
      <c r="A1405" s="155">
        <v>35</v>
      </c>
      <c r="B1405" s="161" t="s">
        <v>3261</v>
      </c>
      <c r="C1405" s="162" t="s">
        <v>3294</v>
      </c>
      <c r="D1405" s="162" t="str">
        <f t="shared" si="22"/>
        <v>山口県防府市</v>
      </c>
      <c r="E1405" s="161">
        <v>6</v>
      </c>
      <c r="F1405" s="157" t="s">
        <v>3295</v>
      </c>
    </row>
    <row r="1406" spans="1:6" ht="15" customHeight="1">
      <c r="A1406" s="155">
        <v>35</v>
      </c>
      <c r="B1406" s="161" t="s">
        <v>3261</v>
      </c>
      <c r="C1406" s="162" t="s">
        <v>3296</v>
      </c>
      <c r="D1406" s="162" t="str">
        <f t="shared" si="22"/>
        <v>山口県美祢市</v>
      </c>
      <c r="E1406" s="161">
        <v>5</v>
      </c>
      <c r="F1406" s="157" t="s">
        <v>3297</v>
      </c>
    </row>
    <row r="1407" spans="1:6" ht="15" customHeight="1">
      <c r="A1407" s="155">
        <v>35</v>
      </c>
      <c r="B1407" s="161" t="s">
        <v>3261</v>
      </c>
      <c r="C1407" s="162" t="s">
        <v>3298</v>
      </c>
      <c r="D1407" s="162" t="str">
        <f t="shared" si="22"/>
        <v>山口県柳井市</v>
      </c>
      <c r="E1407" s="161">
        <v>6</v>
      </c>
      <c r="F1407" s="157" t="s">
        <v>3299</v>
      </c>
    </row>
    <row r="1408" spans="1:6" ht="15" customHeight="1">
      <c r="A1408" s="155">
        <v>35</v>
      </c>
      <c r="B1408" s="161" t="s">
        <v>3261</v>
      </c>
      <c r="C1408" s="162" t="s">
        <v>3300</v>
      </c>
      <c r="D1408" s="162" t="str">
        <f t="shared" si="22"/>
        <v>山口県山口市</v>
      </c>
      <c r="E1408" s="161">
        <v>6</v>
      </c>
      <c r="F1408" s="157" t="s">
        <v>3301</v>
      </c>
    </row>
    <row r="1409" spans="1:6" ht="15" customHeight="1">
      <c r="A1409" s="155">
        <v>35</v>
      </c>
      <c r="B1409" s="161" t="s">
        <v>3261</v>
      </c>
      <c r="C1409" s="162" t="s">
        <v>3302</v>
      </c>
      <c r="D1409" s="162" t="str">
        <f t="shared" si="22"/>
        <v>山口県和木町</v>
      </c>
      <c r="E1409" s="161">
        <v>6</v>
      </c>
      <c r="F1409" s="157" t="s">
        <v>3303</v>
      </c>
    </row>
    <row r="1410" spans="1:6" ht="15" customHeight="1">
      <c r="A1410" s="155">
        <v>36</v>
      </c>
      <c r="B1410" s="161" t="s">
        <v>3304</v>
      </c>
      <c r="C1410" s="162" t="s">
        <v>3305</v>
      </c>
      <c r="D1410" s="162" t="str">
        <f t="shared" si="22"/>
        <v>徳島県藍住町</v>
      </c>
      <c r="E1410" s="161">
        <v>6</v>
      </c>
      <c r="F1410" s="157" t="s">
        <v>3306</v>
      </c>
    </row>
    <row r="1411" spans="1:6" ht="15" customHeight="1">
      <c r="A1411" s="155">
        <v>36</v>
      </c>
      <c r="B1411" s="161" t="s">
        <v>3304</v>
      </c>
      <c r="C1411" s="162" t="s">
        <v>3307</v>
      </c>
      <c r="D1411" s="162" t="str">
        <f t="shared" si="22"/>
        <v>徳島県阿南市</v>
      </c>
      <c r="E1411" s="161">
        <v>7</v>
      </c>
      <c r="F1411" s="157" t="s">
        <v>3308</v>
      </c>
    </row>
    <row r="1412" spans="1:6" ht="15" customHeight="1">
      <c r="A1412" s="155">
        <v>36</v>
      </c>
      <c r="B1412" s="161" t="s">
        <v>3304</v>
      </c>
      <c r="C1412" s="162" t="s">
        <v>3309</v>
      </c>
      <c r="D1412" s="162" t="str">
        <f t="shared" ref="D1412:D1475" si="23">B1412&amp;C1412</f>
        <v>徳島県阿波市</v>
      </c>
      <c r="E1412" s="161">
        <v>6</v>
      </c>
      <c r="F1412" s="157" t="s">
        <v>3310</v>
      </c>
    </row>
    <row r="1413" spans="1:6" ht="15" customHeight="1">
      <c r="A1413" s="155">
        <v>36</v>
      </c>
      <c r="B1413" s="161" t="s">
        <v>3304</v>
      </c>
      <c r="C1413" s="162" t="s">
        <v>3311</v>
      </c>
      <c r="D1413" s="162" t="str">
        <f t="shared" si="23"/>
        <v>徳島県石井町</v>
      </c>
      <c r="E1413" s="161">
        <v>6</v>
      </c>
      <c r="F1413" s="157" t="s">
        <v>3312</v>
      </c>
    </row>
    <row r="1414" spans="1:6" ht="15" customHeight="1">
      <c r="A1414" s="155">
        <v>36</v>
      </c>
      <c r="B1414" s="161" t="s">
        <v>3304</v>
      </c>
      <c r="C1414" s="162" t="s">
        <v>3313</v>
      </c>
      <c r="D1414" s="162" t="str">
        <f t="shared" si="23"/>
        <v>徳島県板野町</v>
      </c>
      <c r="E1414" s="161">
        <v>6</v>
      </c>
      <c r="F1414" s="157" t="s">
        <v>3314</v>
      </c>
    </row>
    <row r="1415" spans="1:6" ht="15" customHeight="1">
      <c r="A1415" s="155">
        <v>36</v>
      </c>
      <c r="B1415" s="161" t="s">
        <v>3304</v>
      </c>
      <c r="C1415" s="162" t="s">
        <v>3315</v>
      </c>
      <c r="D1415" s="162" t="str">
        <f t="shared" si="23"/>
        <v>徳島県海陽町</v>
      </c>
      <c r="E1415" s="161">
        <v>7</v>
      </c>
      <c r="F1415" s="157" t="s">
        <v>3316</v>
      </c>
    </row>
    <row r="1416" spans="1:6" ht="15" customHeight="1">
      <c r="A1416" s="155">
        <v>36</v>
      </c>
      <c r="B1416" s="161" t="s">
        <v>3304</v>
      </c>
      <c r="C1416" s="162" t="s">
        <v>3317</v>
      </c>
      <c r="D1416" s="162" t="str">
        <f t="shared" si="23"/>
        <v>徳島県勝浦町</v>
      </c>
      <c r="E1416" s="161">
        <v>6</v>
      </c>
      <c r="F1416" s="157" t="s">
        <v>3318</v>
      </c>
    </row>
    <row r="1417" spans="1:6" ht="15" customHeight="1">
      <c r="A1417" s="155">
        <v>36</v>
      </c>
      <c r="B1417" s="161" t="s">
        <v>3304</v>
      </c>
      <c r="C1417" s="162" t="s">
        <v>3319</v>
      </c>
      <c r="D1417" s="162" t="str">
        <f t="shared" si="23"/>
        <v>徳島県上板町</v>
      </c>
      <c r="E1417" s="161">
        <v>6</v>
      </c>
      <c r="F1417" s="157" t="s">
        <v>3320</v>
      </c>
    </row>
    <row r="1418" spans="1:6" ht="15" customHeight="1">
      <c r="A1418" s="155">
        <v>36</v>
      </c>
      <c r="B1418" s="161" t="s">
        <v>3304</v>
      </c>
      <c r="C1418" s="162" t="s">
        <v>3321</v>
      </c>
      <c r="D1418" s="162" t="str">
        <f t="shared" si="23"/>
        <v>徳島県上勝町</v>
      </c>
      <c r="E1418" s="161">
        <v>5</v>
      </c>
      <c r="F1418" s="157" t="s">
        <v>3322</v>
      </c>
    </row>
    <row r="1419" spans="1:6" ht="15" customHeight="1">
      <c r="A1419" s="155">
        <v>36</v>
      </c>
      <c r="B1419" s="161" t="s">
        <v>3304</v>
      </c>
      <c r="C1419" s="162" t="s">
        <v>3323</v>
      </c>
      <c r="D1419" s="162" t="str">
        <f t="shared" si="23"/>
        <v>徳島県神山町</v>
      </c>
      <c r="E1419" s="161">
        <v>6</v>
      </c>
      <c r="F1419" s="157" t="s">
        <v>3324</v>
      </c>
    </row>
    <row r="1420" spans="1:6" ht="15" customHeight="1">
      <c r="A1420" s="155">
        <v>36</v>
      </c>
      <c r="B1420" s="161" t="s">
        <v>3304</v>
      </c>
      <c r="C1420" s="162" t="s">
        <v>3325</v>
      </c>
      <c r="D1420" s="162" t="str">
        <f t="shared" si="23"/>
        <v>徳島県北島町</v>
      </c>
      <c r="E1420" s="161">
        <v>6</v>
      </c>
      <c r="F1420" s="157" t="s">
        <v>3326</v>
      </c>
    </row>
    <row r="1421" spans="1:6" ht="15" customHeight="1">
      <c r="A1421" s="155">
        <v>36</v>
      </c>
      <c r="B1421" s="161" t="s">
        <v>3304</v>
      </c>
      <c r="C1421" s="162" t="s">
        <v>3327</v>
      </c>
      <c r="D1421" s="162" t="str">
        <f t="shared" si="23"/>
        <v>徳島県小松島市</v>
      </c>
      <c r="E1421" s="161">
        <v>7</v>
      </c>
      <c r="F1421" s="157" t="s">
        <v>3328</v>
      </c>
    </row>
    <row r="1422" spans="1:6" ht="15" customHeight="1">
      <c r="A1422" s="155">
        <v>36</v>
      </c>
      <c r="B1422" s="161" t="s">
        <v>3304</v>
      </c>
      <c r="C1422" s="162" t="s">
        <v>3329</v>
      </c>
      <c r="D1422" s="162" t="str">
        <f t="shared" si="23"/>
        <v>徳島県佐那河内村</v>
      </c>
      <c r="E1422" s="161">
        <v>6</v>
      </c>
      <c r="F1422" s="157" t="s">
        <v>3330</v>
      </c>
    </row>
    <row r="1423" spans="1:6" ht="15" customHeight="1">
      <c r="A1423" s="155">
        <v>36</v>
      </c>
      <c r="B1423" s="161" t="s">
        <v>3304</v>
      </c>
      <c r="C1423" s="162" t="s">
        <v>3331</v>
      </c>
      <c r="D1423" s="162" t="str">
        <f t="shared" si="23"/>
        <v>徳島県つるぎ町</v>
      </c>
      <c r="E1423" s="161">
        <v>6</v>
      </c>
      <c r="F1423" s="157" t="s">
        <v>3332</v>
      </c>
    </row>
    <row r="1424" spans="1:6" ht="15" customHeight="1">
      <c r="A1424" s="155">
        <v>36</v>
      </c>
      <c r="B1424" s="161" t="s">
        <v>3304</v>
      </c>
      <c r="C1424" s="162" t="s">
        <v>3333</v>
      </c>
      <c r="D1424" s="162" t="str">
        <f t="shared" si="23"/>
        <v>徳島県徳島市</v>
      </c>
      <c r="E1424" s="161">
        <v>6</v>
      </c>
      <c r="F1424" s="157" t="s">
        <v>3334</v>
      </c>
    </row>
    <row r="1425" spans="1:6" ht="15" customHeight="1">
      <c r="A1425" s="155">
        <v>36</v>
      </c>
      <c r="B1425" s="161" t="s">
        <v>3304</v>
      </c>
      <c r="C1425" s="162" t="s">
        <v>3335</v>
      </c>
      <c r="D1425" s="162" t="str">
        <f t="shared" si="23"/>
        <v>徳島県那賀町</v>
      </c>
      <c r="E1425" s="161">
        <v>6</v>
      </c>
      <c r="F1425" s="157" t="s">
        <v>3336</v>
      </c>
    </row>
    <row r="1426" spans="1:6" ht="15" customHeight="1">
      <c r="A1426" s="155">
        <v>36</v>
      </c>
      <c r="B1426" s="161" t="s">
        <v>3304</v>
      </c>
      <c r="C1426" s="162" t="s">
        <v>3337</v>
      </c>
      <c r="D1426" s="162" t="str">
        <f t="shared" si="23"/>
        <v>徳島県鳴門市</v>
      </c>
      <c r="E1426" s="161">
        <v>6</v>
      </c>
      <c r="F1426" s="157" t="s">
        <v>3338</v>
      </c>
    </row>
    <row r="1427" spans="1:6" ht="15" customHeight="1">
      <c r="A1427" s="155">
        <v>36</v>
      </c>
      <c r="B1427" s="161" t="s">
        <v>3304</v>
      </c>
      <c r="C1427" s="162" t="s">
        <v>3339</v>
      </c>
      <c r="D1427" s="162" t="str">
        <f t="shared" si="23"/>
        <v>徳島県東みよし町</v>
      </c>
      <c r="E1427" s="161">
        <v>6</v>
      </c>
      <c r="F1427" s="157" t="s">
        <v>3340</v>
      </c>
    </row>
    <row r="1428" spans="1:6" ht="15" customHeight="1">
      <c r="A1428" s="155">
        <v>36</v>
      </c>
      <c r="B1428" s="161" t="s">
        <v>3304</v>
      </c>
      <c r="C1428" s="162" t="s">
        <v>3341</v>
      </c>
      <c r="D1428" s="162" t="str">
        <f t="shared" si="23"/>
        <v>徳島県松茂町</v>
      </c>
      <c r="E1428" s="161">
        <v>6</v>
      </c>
      <c r="F1428" s="157" t="s">
        <v>3342</v>
      </c>
    </row>
    <row r="1429" spans="1:6" ht="15" customHeight="1">
      <c r="A1429" s="155">
        <v>36</v>
      </c>
      <c r="B1429" s="161" t="s">
        <v>3304</v>
      </c>
      <c r="C1429" s="162" t="s">
        <v>3343</v>
      </c>
      <c r="D1429" s="162" t="str">
        <f t="shared" si="23"/>
        <v>徳島県美波町</v>
      </c>
      <c r="E1429" s="161">
        <v>7</v>
      </c>
      <c r="F1429" s="157" t="s">
        <v>3344</v>
      </c>
    </row>
    <row r="1430" spans="1:6" ht="15" customHeight="1">
      <c r="A1430" s="155">
        <v>36</v>
      </c>
      <c r="B1430" s="161" t="s">
        <v>3304</v>
      </c>
      <c r="C1430" s="162" t="s">
        <v>3345</v>
      </c>
      <c r="D1430" s="162" t="str">
        <f t="shared" si="23"/>
        <v>徳島県美馬市</v>
      </c>
      <c r="E1430" s="161">
        <v>6</v>
      </c>
      <c r="F1430" s="157" t="s">
        <v>3346</v>
      </c>
    </row>
    <row r="1431" spans="1:6" ht="15" customHeight="1">
      <c r="A1431" s="155">
        <v>36</v>
      </c>
      <c r="B1431" s="161" t="s">
        <v>3304</v>
      </c>
      <c r="C1431" s="162" t="s">
        <v>3347</v>
      </c>
      <c r="D1431" s="162" t="str">
        <f t="shared" si="23"/>
        <v>徳島県三好市</v>
      </c>
      <c r="E1431" s="161">
        <v>5</v>
      </c>
      <c r="F1431" s="157" t="s">
        <v>2614</v>
      </c>
    </row>
    <row r="1432" spans="1:6" ht="15" customHeight="1">
      <c r="A1432" s="155">
        <v>36</v>
      </c>
      <c r="B1432" s="161" t="s">
        <v>3304</v>
      </c>
      <c r="C1432" s="162" t="s">
        <v>3348</v>
      </c>
      <c r="D1432" s="162" t="str">
        <f t="shared" si="23"/>
        <v>徳島県牟岐町</v>
      </c>
      <c r="E1432" s="161">
        <v>6</v>
      </c>
      <c r="F1432" s="157" t="s">
        <v>3349</v>
      </c>
    </row>
    <row r="1433" spans="1:6" ht="15" customHeight="1">
      <c r="A1433" s="155">
        <v>36</v>
      </c>
      <c r="B1433" s="161" t="s">
        <v>3304</v>
      </c>
      <c r="C1433" s="162" t="s">
        <v>3350</v>
      </c>
      <c r="D1433" s="162" t="str">
        <f t="shared" si="23"/>
        <v>徳島県吉野川市</v>
      </c>
      <c r="E1433" s="161">
        <v>6</v>
      </c>
      <c r="F1433" s="157" t="s">
        <v>3351</v>
      </c>
    </row>
    <row r="1434" spans="1:6" ht="15" customHeight="1">
      <c r="A1434" s="155">
        <v>37</v>
      </c>
      <c r="B1434" s="161" t="s">
        <v>3352</v>
      </c>
      <c r="C1434" s="162" t="s">
        <v>3353</v>
      </c>
      <c r="D1434" s="162" t="str">
        <f t="shared" si="23"/>
        <v>香川県全ての市町　</v>
      </c>
      <c r="E1434" s="161">
        <v>6</v>
      </c>
      <c r="F1434" s="157" t="s">
        <v>3354</v>
      </c>
    </row>
    <row r="1435" spans="1:6" ht="15" customHeight="1">
      <c r="A1435" s="155">
        <v>38</v>
      </c>
      <c r="B1435" s="161" t="s">
        <v>3355</v>
      </c>
      <c r="C1435" s="162" t="s">
        <v>3356</v>
      </c>
      <c r="D1435" s="162" t="str">
        <f t="shared" si="23"/>
        <v>愛媛県愛南町</v>
      </c>
      <c r="E1435" s="161">
        <v>7</v>
      </c>
      <c r="F1435" s="157" t="s">
        <v>3357</v>
      </c>
    </row>
    <row r="1436" spans="1:6" ht="15" customHeight="1">
      <c r="A1436" s="155">
        <v>38</v>
      </c>
      <c r="B1436" s="161" t="s">
        <v>3355</v>
      </c>
      <c r="C1436" s="162" t="s">
        <v>3358</v>
      </c>
      <c r="D1436" s="162" t="str">
        <f t="shared" si="23"/>
        <v>愛媛県伊方町</v>
      </c>
      <c r="E1436" s="161">
        <v>6</v>
      </c>
      <c r="F1436" s="157" t="s">
        <v>3359</v>
      </c>
    </row>
    <row r="1437" spans="1:6" ht="15" customHeight="1">
      <c r="A1437" s="155">
        <v>38</v>
      </c>
      <c r="B1437" s="161" t="s">
        <v>3355</v>
      </c>
      <c r="C1437" s="162" t="s">
        <v>3360</v>
      </c>
      <c r="D1437" s="162" t="str">
        <f t="shared" si="23"/>
        <v>愛媛県今治市</v>
      </c>
      <c r="E1437" s="161">
        <v>6</v>
      </c>
      <c r="F1437" s="157" t="s">
        <v>3361</v>
      </c>
    </row>
    <row r="1438" spans="1:6" ht="15" customHeight="1">
      <c r="A1438" s="155">
        <v>38</v>
      </c>
      <c r="B1438" s="161" t="s">
        <v>3355</v>
      </c>
      <c r="C1438" s="162" t="s">
        <v>3362</v>
      </c>
      <c r="D1438" s="162" t="str">
        <f t="shared" si="23"/>
        <v>愛媛県伊予市</v>
      </c>
      <c r="E1438" s="161">
        <v>6</v>
      </c>
      <c r="F1438" s="157" t="s">
        <v>3363</v>
      </c>
    </row>
    <row r="1439" spans="1:6" ht="15" customHeight="1">
      <c r="A1439" s="155">
        <v>38</v>
      </c>
      <c r="B1439" s="161" t="s">
        <v>3355</v>
      </c>
      <c r="C1439" s="162" t="s">
        <v>3364</v>
      </c>
      <c r="D1439" s="162" t="str">
        <f t="shared" si="23"/>
        <v>愛媛県内子町（旧内子町、旧五十崎町に限る。）</v>
      </c>
      <c r="E1439" s="161">
        <v>6</v>
      </c>
      <c r="F1439" s="157" t="s">
        <v>3365</v>
      </c>
    </row>
    <row r="1440" spans="1:6" ht="15" customHeight="1">
      <c r="A1440" s="155">
        <v>38</v>
      </c>
      <c r="B1440" s="161" t="s">
        <v>3355</v>
      </c>
      <c r="C1440" s="162" t="s">
        <v>3366</v>
      </c>
      <c r="D1440" s="162" t="str">
        <f t="shared" si="23"/>
        <v>愛媛県内子町（旧小田町に限る。）</v>
      </c>
      <c r="E1440" s="161">
        <v>5</v>
      </c>
      <c r="F1440" s="157" t="s">
        <v>3367</v>
      </c>
    </row>
    <row r="1441" spans="1:6" ht="15" customHeight="1">
      <c r="A1441" s="155">
        <v>38</v>
      </c>
      <c r="B1441" s="161" t="s">
        <v>3355</v>
      </c>
      <c r="C1441" s="162" t="s">
        <v>3368</v>
      </c>
      <c r="D1441" s="162" t="str">
        <f t="shared" si="23"/>
        <v>愛媛県宇和島市</v>
      </c>
      <c r="E1441" s="161">
        <v>7</v>
      </c>
      <c r="F1441" s="157" t="s">
        <v>3369</v>
      </c>
    </row>
    <row r="1442" spans="1:6" ht="15" customHeight="1">
      <c r="A1442" s="155">
        <v>38</v>
      </c>
      <c r="B1442" s="161" t="s">
        <v>3355</v>
      </c>
      <c r="C1442" s="162" t="s">
        <v>3370</v>
      </c>
      <c r="D1442" s="162" t="str">
        <f t="shared" si="23"/>
        <v>愛媛県大洲市(旧大洲市、旧長浜町に限る。)</v>
      </c>
      <c r="E1442" s="161">
        <v>6</v>
      </c>
      <c r="F1442" s="157" t="s">
        <v>3371</v>
      </c>
    </row>
    <row r="1443" spans="1:6" ht="15" customHeight="1">
      <c r="A1443" s="155">
        <v>38</v>
      </c>
      <c r="B1443" s="161" t="s">
        <v>3355</v>
      </c>
      <c r="C1443" s="162" t="s">
        <v>3372</v>
      </c>
      <c r="D1443" s="162" t="str">
        <f t="shared" si="23"/>
        <v>愛媛県大洲市(旧肱川町、旧河辺村に限る。)</v>
      </c>
      <c r="E1443" s="161">
        <v>5</v>
      </c>
      <c r="F1443" s="157" t="s">
        <v>3373</v>
      </c>
    </row>
    <row r="1444" spans="1:6" ht="15" customHeight="1">
      <c r="A1444" s="155">
        <v>38</v>
      </c>
      <c r="B1444" s="161" t="s">
        <v>3355</v>
      </c>
      <c r="C1444" s="162" t="s">
        <v>3374</v>
      </c>
      <c r="D1444" s="162" t="str">
        <f t="shared" si="23"/>
        <v>愛媛県上島町</v>
      </c>
      <c r="E1444" s="161">
        <v>6</v>
      </c>
      <c r="F1444" s="157" t="s">
        <v>3375</v>
      </c>
    </row>
    <row r="1445" spans="1:6" ht="15" customHeight="1">
      <c r="A1445" s="155">
        <v>38</v>
      </c>
      <c r="B1445" s="161" t="s">
        <v>3355</v>
      </c>
      <c r="C1445" s="162" t="s">
        <v>3376</v>
      </c>
      <c r="D1445" s="162" t="str">
        <f t="shared" si="23"/>
        <v>愛媛県鬼北町</v>
      </c>
      <c r="E1445" s="161">
        <v>6</v>
      </c>
      <c r="F1445" s="157" t="s">
        <v>2639</v>
      </c>
    </row>
    <row r="1446" spans="1:6" ht="15" customHeight="1">
      <c r="A1446" s="155">
        <v>38</v>
      </c>
      <c r="B1446" s="161" t="s">
        <v>3355</v>
      </c>
      <c r="C1446" s="162" t="s">
        <v>3377</v>
      </c>
      <c r="D1446" s="162" t="str">
        <f t="shared" si="23"/>
        <v>愛媛県久万高原町</v>
      </c>
      <c r="E1446" s="161">
        <v>4</v>
      </c>
      <c r="F1446" s="157" t="s">
        <v>3378</v>
      </c>
    </row>
    <row r="1447" spans="1:6" ht="15" customHeight="1">
      <c r="A1447" s="155">
        <v>38</v>
      </c>
      <c r="B1447" s="161" t="s">
        <v>3355</v>
      </c>
      <c r="C1447" s="162" t="s">
        <v>3379</v>
      </c>
      <c r="D1447" s="162" t="str">
        <f t="shared" si="23"/>
        <v>愛媛県西条市</v>
      </c>
      <c r="E1447" s="161">
        <v>6</v>
      </c>
      <c r="F1447" s="157" t="s">
        <v>3380</v>
      </c>
    </row>
    <row r="1448" spans="1:6" ht="15" customHeight="1">
      <c r="A1448" s="155">
        <v>38</v>
      </c>
      <c r="B1448" s="161" t="s">
        <v>3355</v>
      </c>
      <c r="C1448" s="162" t="s">
        <v>3381</v>
      </c>
      <c r="D1448" s="162" t="str">
        <f t="shared" si="23"/>
        <v>愛媛県四国中央市</v>
      </c>
      <c r="E1448" s="161">
        <v>6</v>
      </c>
      <c r="F1448" s="157" t="s">
        <v>3382</v>
      </c>
    </row>
    <row r="1449" spans="1:6" ht="15" customHeight="1">
      <c r="A1449" s="155">
        <v>38</v>
      </c>
      <c r="B1449" s="161" t="s">
        <v>3355</v>
      </c>
      <c r="C1449" s="162" t="s">
        <v>3383</v>
      </c>
      <c r="D1449" s="162" t="str">
        <f t="shared" si="23"/>
        <v>愛媛県西予市</v>
      </c>
      <c r="E1449" s="161">
        <v>6</v>
      </c>
      <c r="F1449" s="157" t="s">
        <v>3384</v>
      </c>
    </row>
    <row r="1450" spans="1:6" ht="15" customHeight="1">
      <c r="A1450" s="155">
        <v>38</v>
      </c>
      <c r="B1450" s="161" t="s">
        <v>3355</v>
      </c>
      <c r="C1450" s="162" t="s">
        <v>3385</v>
      </c>
      <c r="D1450" s="162" t="str">
        <f t="shared" si="23"/>
        <v>愛媛県東温市</v>
      </c>
      <c r="E1450" s="161">
        <v>6</v>
      </c>
      <c r="F1450" s="157" t="s">
        <v>3386</v>
      </c>
    </row>
    <row r="1451" spans="1:6" ht="15" customHeight="1">
      <c r="A1451" s="155">
        <v>38</v>
      </c>
      <c r="B1451" s="161" t="s">
        <v>3355</v>
      </c>
      <c r="C1451" s="162" t="s">
        <v>3387</v>
      </c>
      <c r="D1451" s="162" t="str">
        <f t="shared" si="23"/>
        <v>愛媛県砥部町</v>
      </c>
      <c r="E1451" s="161">
        <v>6</v>
      </c>
      <c r="F1451" s="157" t="s">
        <v>3388</v>
      </c>
    </row>
    <row r="1452" spans="1:6" ht="15" customHeight="1">
      <c r="A1452" s="155">
        <v>38</v>
      </c>
      <c r="B1452" s="161" t="s">
        <v>3355</v>
      </c>
      <c r="C1452" s="162" t="s">
        <v>3389</v>
      </c>
      <c r="D1452" s="162" t="str">
        <f t="shared" si="23"/>
        <v>愛媛県新居浜市（旧新居浜市に限る。）</v>
      </c>
      <c r="E1452" s="161">
        <v>7</v>
      </c>
      <c r="F1452" s="157" t="s">
        <v>3390</v>
      </c>
    </row>
    <row r="1453" spans="1:6" ht="15" customHeight="1">
      <c r="A1453" s="155">
        <v>38</v>
      </c>
      <c r="B1453" s="161" t="s">
        <v>3355</v>
      </c>
      <c r="C1453" s="162" t="s">
        <v>3391</v>
      </c>
      <c r="D1453" s="162" t="str">
        <f t="shared" si="23"/>
        <v>愛媛県新居浜市（旧別子山村に限る。）</v>
      </c>
      <c r="E1453" s="161">
        <v>4</v>
      </c>
      <c r="F1453" s="157" t="s">
        <v>3392</v>
      </c>
    </row>
    <row r="1454" spans="1:6" ht="15" customHeight="1">
      <c r="A1454" s="155">
        <v>38</v>
      </c>
      <c r="B1454" s="161" t="s">
        <v>3355</v>
      </c>
      <c r="C1454" s="162" t="s">
        <v>3393</v>
      </c>
      <c r="D1454" s="162" t="str">
        <f t="shared" si="23"/>
        <v>愛媛県松野町</v>
      </c>
      <c r="E1454" s="161">
        <v>6</v>
      </c>
      <c r="F1454" s="157" t="s">
        <v>3394</v>
      </c>
    </row>
    <row r="1455" spans="1:6" ht="15" customHeight="1">
      <c r="A1455" s="155">
        <v>38</v>
      </c>
      <c r="B1455" s="161" t="s">
        <v>3355</v>
      </c>
      <c r="C1455" s="162" t="s">
        <v>887</v>
      </c>
      <c r="D1455" s="162" t="str">
        <f t="shared" si="23"/>
        <v>愛媛県松前町</v>
      </c>
      <c r="E1455" s="161">
        <v>7</v>
      </c>
      <c r="F1455" s="157" t="s">
        <v>888</v>
      </c>
    </row>
    <row r="1456" spans="1:6" ht="15" customHeight="1">
      <c r="A1456" s="155">
        <v>38</v>
      </c>
      <c r="B1456" s="161" t="s">
        <v>3355</v>
      </c>
      <c r="C1456" s="162" t="s">
        <v>3395</v>
      </c>
      <c r="D1456" s="162" t="str">
        <f t="shared" si="23"/>
        <v>愛媛県松山市</v>
      </c>
      <c r="E1456" s="161">
        <v>7</v>
      </c>
      <c r="F1456" s="157" t="s">
        <v>3396</v>
      </c>
    </row>
    <row r="1457" spans="1:6" ht="15" customHeight="1">
      <c r="A1457" s="155">
        <v>38</v>
      </c>
      <c r="B1457" s="161" t="s">
        <v>3355</v>
      </c>
      <c r="C1457" s="162" t="s">
        <v>3397</v>
      </c>
      <c r="D1457" s="162" t="str">
        <f t="shared" si="23"/>
        <v>愛媛県八幡浜市</v>
      </c>
      <c r="E1457" s="161">
        <v>6</v>
      </c>
      <c r="F1457" s="157" t="s">
        <v>3398</v>
      </c>
    </row>
    <row r="1458" spans="1:6" ht="15" customHeight="1">
      <c r="A1458" s="155">
        <v>39</v>
      </c>
      <c r="B1458" s="161" t="s">
        <v>3399</v>
      </c>
      <c r="C1458" s="162" t="s">
        <v>3400</v>
      </c>
      <c r="D1458" s="162" t="str">
        <f t="shared" si="23"/>
        <v>高知県安芸市</v>
      </c>
      <c r="E1458" s="161">
        <v>7</v>
      </c>
      <c r="F1458" s="157" t="s">
        <v>3401</v>
      </c>
    </row>
    <row r="1459" spans="1:6" ht="15" customHeight="1">
      <c r="A1459" s="155">
        <v>39</v>
      </c>
      <c r="B1459" s="161" t="s">
        <v>3399</v>
      </c>
      <c r="C1459" s="162" t="s">
        <v>3402</v>
      </c>
      <c r="D1459" s="162" t="str">
        <f t="shared" si="23"/>
        <v>高知県いの町（旧伊野町に限る。）</v>
      </c>
      <c r="E1459" s="161">
        <v>6</v>
      </c>
      <c r="F1459" s="157" t="s">
        <v>3403</v>
      </c>
    </row>
    <row r="1460" spans="1:6" ht="15" customHeight="1">
      <c r="A1460" s="155">
        <v>39</v>
      </c>
      <c r="B1460" s="161" t="s">
        <v>3399</v>
      </c>
      <c r="C1460" s="162" t="s">
        <v>3404</v>
      </c>
      <c r="D1460" s="162" t="str">
        <f t="shared" si="23"/>
        <v>高知県いの町(旧吾北村に限る。)</v>
      </c>
      <c r="E1460" s="161">
        <v>5</v>
      </c>
      <c r="F1460" s="157" t="s">
        <v>3405</v>
      </c>
    </row>
    <row r="1461" spans="1:6" ht="15" customHeight="1">
      <c r="A1461" s="155">
        <v>39</v>
      </c>
      <c r="B1461" s="161" t="s">
        <v>3399</v>
      </c>
      <c r="C1461" s="162" t="s">
        <v>3406</v>
      </c>
      <c r="D1461" s="162" t="str">
        <f t="shared" si="23"/>
        <v>高知県いの町(旧本川村に限る。)</v>
      </c>
      <c r="E1461" s="161">
        <v>4</v>
      </c>
      <c r="F1461" s="157" t="s">
        <v>3407</v>
      </c>
    </row>
    <row r="1462" spans="1:6" ht="15" customHeight="1">
      <c r="A1462" s="155">
        <v>39</v>
      </c>
      <c r="B1462" s="161" t="s">
        <v>3399</v>
      </c>
      <c r="C1462" s="162" t="s">
        <v>3408</v>
      </c>
      <c r="D1462" s="162" t="str">
        <f t="shared" si="23"/>
        <v>高知県馬路村</v>
      </c>
      <c r="E1462" s="161">
        <v>6</v>
      </c>
      <c r="F1462" s="157" t="s">
        <v>3409</v>
      </c>
    </row>
    <row r="1463" spans="1:6" ht="15" customHeight="1">
      <c r="A1463" s="155">
        <v>39</v>
      </c>
      <c r="B1463" s="161" t="s">
        <v>3399</v>
      </c>
      <c r="C1463" s="162" t="s">
        <v>3410</v>
      </c>
      <c r="D1463" s="162" t="str">
        <f t="shared" si="23"/>
        <v>高知県大川村</v>
      </c>
      <c r="E1463" s="161">
        <v>5</v>
      </c>
      <c r="F1463" s="157" t="s">
        <v>3411</v>
      </c>
    </row>
    <row r="1464" spans="1:6" ht="15" customHeight="1">
      <c r="A1464" s="155">
        <v>39</v>
      </c>
      <c r="B1464" s="161" t="s">
        <v>3399</v>
      </c>
      <c r="C1464" s="162" t="s">
        <v>3412</v>
      </c>
      <c r="D1464" s="162" t="str">
        <f t="shared" si="23"/>
        <v>高知県大月町</v>
      </c>
      <c r="E1464" s="161">
        <v>7</v>
      </c>
      <c r="F1464" s="157" t="s">
        <v>3413</v>
      </c>
    </row>
    <row r="1465" spans="1:6" ht="15" customHeight="1">
      <c r="A1465" s="155">
        <v>39</v>
      </c>
      <c r="B1465" s="161" t="s">
        <v>3399</v>
      </c>
      <c r="C1465" s="162" t="s">
        <v>3414</v>
      </c>
      <c r="D1465" s="162" t="str">
        <f t="shared" si="23"/>
        <v>高知県大豊町</v>
      </c>
      <c r="E1465" s="161">
        <v>5</v>
      </c>
      <c r="F1465" s="157" t="s">
        <v>3415</v>
      </c>
    </row>
    <row r="1466" spans="1:6" ht="15" customHeight="1">
      <c r="A1466" s="155">
        <v>39</v>
      </c>
      <c r="B1466" s="161" t="s">
        <v>3399</v>
      </c>
      <c r="C1466" s="162" t="s">
        <v>3416</v>
      </c>
      <c r="D1466" s="162" t="str">
        <f t="shared" si="23"/>
        <v>高知県越知町</v>
      </c>
      <c r="E1466" s="161">
        <v>6</v>
      </c>
      <c r="F1466" s="157" t="s">
        <v>3417</v>
      </c>
    </row>
    <row r="1467" spans="1:6" ht="15" customHeight="1">
      <c r="A1467" s="155">
        <v>39</v>
      </c>
      <c r="B1467" s="161" t="s">
        <v>3399</v>
      </c>
      <c r="C1467" s="162" t="s">
        <v>3418</v>
      </c>
      <c r="D1467" s="162" t="str">
        <f t="shared" si="23"/>
        <v>高知県香美市</v>
      </c>
      <c r="E1467" s="161">
        <v>6</v>
      </c>
      <c r="F1467" s="157" t="s">
        <v>3419</v>
      </c>
    </row>
    <row r="1468" spans="1:6" ht="15" customHeight="1">
      <c r="A1468" s="155">
        <v>39</v>
      </c>
      <c r="B1468" s="161" t="s">
        <v>3399</v>
      </c>
      <c r="C1468" s="162" t="s">
        <v>3420</v>
      </c>
      <c r="D1468" s="162" t="str">
        <f t="shared" si="23"/>
        <v>高知県北川村</v>
      </c>
      <c r="E1468" s="161">
        <v>7</v>
      </c>
      <c r="F1468" s="157" t="s">
        <v>3421</v>
      </c>
    </row>
    <row r="1469" spans="1:6" ht="15" customHeight="1">
      <c r="A1469" s="155">
        <v>39</v>
      </c>
      <c r="B1469" s="161" t="s">
        <v>3399</v>
      </c>
      <c r="C1469" s="162" t="s">
        <v>3422</v>
      </c>
      <c r="D1469" s="162" t="str">
        <f t="shared" si="23"/>
        <v>高知県黒潮町</v>
      </c>
      <c r="E1469" s="161">
        <v>6</v>
      </c>
      <c r="F1469" s="157" t="s">
        <v>3423</v>
      </c>
    </row>
    <row r="1470" spans="1:6" ht="15" customHeight="1">
      <c r="A1470" s="155">
        <v>39</v>
      </c>
      <c r="B1470" s="161" t="s">
        <v>3399</v>
      </c>
      <c r="C1470" s="162" t="s">
        <v>3424</v>
      </c>
      <c r="D1470" s="162" t="str">
        <f t="shared" si="23"/>
        <v>高知県芸西村</v>
      </c>
      <c r="E1470" s="161">
        <v>7</v>
      </c>
      <c r="F1470" s="157" t="s">
        <v>3425</v>
      </c>
    </row>
    <row r="1471" spans="1:6" ht="15" customHeight="1">
      <c r="A1471" s="155">
        <v>39</v>
      </c>
      <c r="B1471" s="161" t="s">
        <v>3399</v>
      </c>
      <c r="C1471" s="162" t="s">
        <v>3426</v>
      </c>
      <c r="D1471" s="162" t="str">
        <f t="shared" si="23"/>
        <v>高知県高知市</v>
      </c>
      <c r="E1471" s="161">
        <v>7</v>
      </c>
      <c r="F1471" s="157" t="s">
        <v>3427</v>
      </c>
    </row>
    <row r="1472" spans="1:6" ht="15" customHeight="1">
      <c r="A1472" s="155">
        <v>39</v>
      </c>
      <c r="B1472" s="161" t="s">
        <v>3399</v>
      </c>
      <c r="C1472" s="162" t="s">
        <v>3428</v>
      </c>
      <c r="D1472" s="162" t="str">
        <f t="shared" si="23"/>
        <v>高知県香南市</v>
      </c>
      <c r="E1472" s="161">
        <v>7</v>
      </c>
      <c r="F1472" s="157" t="s">
        <v>2548</v>
      </c>
    </row>
    <row r="1473" spans="1:6" ht="15" customHeight="1">
      <c r="A1473" s="155">
        <v>39</v>
      </c>
      <c r="B1473" s="161" t="s">
        <v>3399</v>
      </c>
      <c r="C1473" s="162" t="s">
        <v>3429</v>
      </c>
      <c r="D1473" s="162" t="str">
        <f t="shared" si="23"/>
        <v>高知県佐川町</v>
      </c>
      <c r="E1473" s="161">
        <v>6</v>
      </c>
      <c r="F1473" s="157" t="s">
        <v>3430</v>
      </c>
    </row>
    <row r="1474" spans="1:6" ht="15" customHeight="1">
      <c r="A1474" s="155">
        <v>39</v>
      </c>
      <c r="B1474" s="161" t="s">
        <v>3399</v>
      </c>
      <c r="C1474" s="162" t="s">
        <v>3431</v>
      </c>
      <c r="D1474" s="162" t="str">
        <f t="shared" si="23"/>
        <v>高知県四万十市</v>
      </c>
      <c r="E1474" s="161">
        <v>7</v>
      </c>
      <c r="F1474" s="157" t="s">
        <v>3432</v>
      </c>
    </row>
    <row r="1475" spans="1:6" ht="15" customHeight="1">
      <c r="A1475" s="155">
        <v>39</v>
      </c>
      <c r="B1475" s="161" t="s">
        <v>3399</v>
      </c>
      <c r="C1475" s="162" t="s">
        <v>3433</v>
      </c>
      <c r="D1475" s="162" t="str">
        <f t="shared" si="23"/>
        <v>高知県宿毛市</v>
      </c>
      <c r="E1475" s="161">
        <v>7</v>
      </c>
      <c r="F1475" s="157" t="s">
        <v>3434</v>
      </c>
    </row>
    <row r="1476" spans="1:6" ht="15" customHeight="1">
      <c r="A1476" s="155">
        <v>39</v>
      </c>
      <c r="B1476" s="161" t="s">
        <v>3399</v>
      </c>
      <c r="C1476" s="162" t="s">
        <v>3435</v>
      </c>
      <c r="D1476" s="162" t="str">
        <f t="shared" ref="D1476:D1539" si="24">B1476&amp;C1476</f>
        <v>高知県須崎市</v>
      </c>
      <c r="E1476" s="161">
        <v>7</v>
      </c>
      <c r="F1476" s="157" t="s">
        <v>3436</v>
      </c>
    </row>
    <row r="1477" spans="1:6" ht="15" customHeight="1">
      <c r="A1477" s="155">
        <v>39</v>
      </c>
      <c r="B1477" s="161" t="s">
        <v>3399</v>
      </c>
      <c r="C1477" s="162" t="s">
        <v>3437</v>
      </c>
      <c r="D1477" s="162" t="str">
        <f t="shared" si="24"/>
        <v>高知県田野町</v>
      </c>
      <c r="E1477" s="161">
        <v>7</v>
      </c>
      <c r="F1477" s="157" t="s">
        <v>3438</v>
      </c>
    </row>
    <row r="1478" spans="1:6" ht="15" customHeight="1">
      <c r="A1478" s="155">
        <v>39</v>
      </c>
      <c r="B1478" s="161" t="s">
        <v>3399</v>
      </c>
      <c r="C1478" s="162" t="s">
        <v>3439</v>
      </c>
      <c r="D1478" s="162" t="str">
        <f t="shared" si="24"/>
        <v>高知県津野町</v>
      </c>
      <c r="E1478" s="161">
        <v>6</v>
      </c>
      <c r="F1478" s="157" t="s">
        <v>3440</v>
      </c>
    </row>
    <row r="1479" spans="1:6" ht="15" customHeight="1">
      <c r="A1479" s="155">
        <v>39</v>
      </c>
      <c r="B1479" s="161" t="s">
        <v>3399</v>
      </c>
      <c r="C1479" s="162" t="s">
        <v>3441</v>
      </c>
      <c r="D1479" s="162" t="str">
        <f t="shared" si="24"/>
        <v>高知県東洋町</v>
      </c>
      <c r="E1479" s="161">
        <v>7</v>
      </c>
      <c r="F1479" s="157" t="s">
        <v>3442</v>
      </c>
    </row>
    <row r="1480" spans="1:6" ht="15" customHeight="1">
      <c r="A1480" s="155">
        <v>39</v>
      </c>
      <c r="B1480" s="161" t="s">
        <v>3399</v>
      </c>
      <c r="C1480" s="162" t="s">
        <v>3443</v>
      </c>
      <c r="D1480" s="162" t="str">
        <f t="shared" si="24"/>
        <v>高知県土佐市</v>
      </c>
      <c r="E1480" s="161">
        <v>7</v>
      </c>
      <c r="F1480" s="157" t="s">
        <v>3444</v>
      </c>
    </row>
    <row r="1481" spans="1:6" ht="15" customHeight="1">
      <c r="A1481" s="155">
        <v>39</v>
      </c>
      <c r="B1481" s="161" t="s">
        <v>3399</v>
      </c>
      <c r="C1481" s="162" t="s">
        <v>3445</v>
      </c>
      <c r="D1481" s="162" t="str">
        <f t="shared" si="24"/>
        <v>高知県土佐清水市</v>
      </c>
      <c r="E1481" s="161">
        <v>7</v>
      </c>
      <c r="F1481" s="157" t="s">
        <v>3446</v>
      </c>
    </row>
    <row r="1482" spans="1:6" ht="15" customHeight="1">
      <c r="A1482" s="155">
        <v>39</v>
      </c>
      <c r="B1482" s="161" t="s">
        <v>3399</v>
      </c>
      <c r="C1482" s="162" t="s">
        <v>3447</v>
      </c>
      <c r="D1482" s="162" t="str">
        <f t="shared" si="24"/>
        <v>高知県土佐町</v>
      </c>
      <c r="E1482" s="161">
        <v>5</v>
      </c>
      <c r="F1482" s="157" t="s">
        <v>3448</v>
      </c>
    </row>
    <row r="1483" spans="1:6" ht="15" customHeight="1">
      <c r="A1483" s="155">
        <v>39</v>
      </c>
      <c r="B1483" s="161" t="s">
        <v>3399</v>
      </c>
      <c r="C1483" s="162" t="s">
        <v>3449</v>
      </c>
      <c r="D1483" s="162" t="str">
        <f t="shared" si="24"/>
        <v>高知県中土佐町</v>
      </c>
      <c r="E1483" s="161">
        <v>7</v>
      </c>
      <c r="F1483" s="157" t="s">
        <v>3450</v>
      </c>
    </row>
    <row r="1484" spans="1:6" ht="15" customHeight="1">
      <c r="A1484" s="155">
        <v>39</v>
      </c>
      <c r="B1484" s="161" t="s">
        <v>3399</v>
      </c>
      <c r="C1484" s="162" t="s">
        <v>3451</v>
      </c>
      <c r="D1484" s="162" t="str">
        <f t="shared" si="24"/>
        <v>高知県奈半利町</v>
      </c>
      <c r="E1484" s="161">
        <v>7</v>
      </c>
      <c r="F1484" s="157" t="s">
        <v>3452</v>
      </c>
    </row>
    <row r="1485" spans="1:6" ht="15" customHeight="1">
      <c r="A1485" s="155">
        <v>39</v>
      </c>
      <c r="B1485" s="161" t="s">
        <v>3399</v>
      </c>
      <c r="C1485" s="162" t="s">
        <v>3453</v>
      </c>
      <c r="D1485" s="162" t="str">
        <f t="shared" si="24"/>
        <v>高知県南国市</v>
      </c>
      <c r="E1485" s="161">
        <v>7</v>
      </c>
      <c r="F1485" s="157" t="s">
        <v>3454</v>
      </c>
    </row>
    <row r="1486" spans="1:6" ht="15" customHeight="1">
      <c r="A1486" s="155">
        <v>39</v>
      </c>
      <c r="B1486" s="161" t="s">
        <v>3399</v>
      </c>
      <c r="C1486" s="162" t="s">
        <v>3455</v>
      </c>
      <c r="D1486" s="162" t="str">
        <f t="shared" si="24"/>
        <v>高知県仁淀川町</v>
      </c>
      <c r="E1486" s="161">
        <v>5</v>
      </c>
      <c r="F1486" s="157" t="s">
        <v>3456</v>
      </c>
    </row>
    <row r="1487" spans="1:6" ht="15" customHeight="1">
      <c r="A1487" s="155">
        <v>39</v>
      </c>
      <c r="B1487" s="161" t="s">
        <v>3399</v>
      </c>
      <c r="C1487" s="162" t="s">
        <v>3457</v>
      </c>
      <c r="D1487" s="162" t="str">
        <f t="shared" si="24"/>
        <v>高知県日高村</v>
      </c>
      <c r="E1487" s="161">
        <v>6</v>
      </c>
      <c r="F1487" s="157" t="s">
        <v>3458</v>
      </c>
    </row>
    <row r="1488" spans="1:6" ht="15" customHeight="1">
      <c r="A1488" s="155">
        <v>39</v>
      </c>
      <c r="B1488" s="161" t="s">
        <v>3399</v>
      </c>
      <c r="C1488" s="162" t="s">
        <v>3459</v>
      </c>
      <c r="D1488" s="162" t="str">
        <f t="shared" si="24"/>
        <v>高知県三原村</v>
      </c>
      <c r="E1488" s="161">
        <v>6</v>
      </c>
      <c r="F1488" s="157" t="s">
        <v>3460</v>
      </c>
    </row>
    <row r="1489" spans="1:6" ht="15" customHeight="1">
      <c r="A1489" s="155">
        <v>39</v>
      </c>
      <c r="B1489" s="161" t="s">
        <v>3399</v>
      </c>
      <c r="C1489" s="162" t="s">
        <v>3461</v>
      </c>
      <c r="D1489" s="162" t="str">
        <f t="shared" si="24"/>
        <v>高知県室戸市</v>
      </c>
      <c r="E1489" s="161">
        <v>7</v>
      </c>
      <c r="F1489" s="157" t="s">
        <v>3462</v>
      </c>
    </row>
    <row r="1490" spans="1:6" ht="15" customHeight="1">
      <c r="A1490" s="155">
        <v>39</v>
      </c>
      <c r="B1490" s="161" t="s">
        <v>3399</v>
      </c>
      <c r="C1490" s="162" t="s">
        <v>3463</v>
      </c>
      <c r="D1490" s="162" t="str">
        <f t="shared" si="24"/>
        <v>高知県本山町</v>
      </c>
      <c r="E1490" s="161">
        <v>5</v>
      </c>
      <c r="F1490" s="157" t="s">
        <v>3464</v>
      </c>
    </row>
    <row r="1491" spans="1:6" ht="15" customHeight="1">
      <c r="A1491" s="155">
        <v>39</v>
      </c>
      <c r="B1491" s="161" t="s">
        <v>3399</v>
      </c>
      <c r="C1491" s="162" t="s">
        <v>3465</v>
      </c>
      <c r="D1491" s="162" t="str">
        <f t="shared" si="24"/>
        <v>高知県安田町</v>
      </c>
      <c r="E1491" s="161">
        <v>7</v>
      </c>
      <c r="F1491" s="157" t="s">
        <v>3466</v>
      </c>
    </row>
    <row r="1492" spans="1:6" ht="15" customHeight="1">
      <c r="A1492" s="155">
        <v>39</v>
      </c>
      <c r="B1492" s="161" t="s">
        <v>3399</v>
      </c>
      <c r="C1492" s="162" t="s">
        <v>3467</v>
      </c>
      <c r="D1492" s="162" t="str">
        <f t="shared" si="24"/>
        <v>高知県梼原町</v>
      </c>
      <c r="E1492" s="161">
        <v>4</v>
      </c>
      <c r="F1492" s="157" t="s">
        <v>3468</v>
      </c>
    </row>
    <row r="1493" spans="1:6" ht="15" customHeight="1">
      <c r="A1493" s="155">
        <v>39</v>
      </c>
      <c r="B1493" s="161" t="s">
        <v>3399</v>
      </c>
      <c r="C1493" s="162" t="s">
        <v>3469</v>
      </c>
      <c r="D1493" s="162" t="str">
        <f t="shared" si="24"/>
        <v>高知県四万十町</v>
      </c>
      <c r="E1493" s="161">
        <v>6</v>
      </c>
      <c r="F1493" s="157" t="s">
        <v>3470</v>
      </c>
    </row>
    <row r="1494" spans="1:6" ht="15" customHeight="1">
      <c r="A1494" s="155">
        <v>40</v>
      </c>
      <c r="B1494" s="161" t="s">
        <v>3471</v>
      </c>
      <c r="C1494" s="162" t="s">
        <v>3472</v>
      </c>
      <c r="D1494" s="162" t="str">
        <f t="shared" si="24"/>
        <v>福岡県赤村</v>
      </c>
      <c r="E1494" s="161">
        <v>6</v>
      </c>
      <c r="F1494" s="157" t="s">
        <v>3473</v>
      </c>
    </row>
    <row r="1495" spans="1:6" ht="15" customHeight="1">
      <c r="A1495" s="155">
        <v>40</v>
      </c>
      <c r="B1495" s="161" t="s">
        <v>3471</v>
      </c>
      <c r="C1495" s="162" t="s">
        <v>3474</v>
      </c>
      <c r="D1495" s="162" t="str">
        <f t="shared" si="24"/>
        <v>福岡県朝倉市</v>
      </c>
      <c r="E1495" s="161">
        <v>6</v>
      </c>
      <c r="F1495" s="157" t="s">
        <v>3475</v>
      </c>
    </row>
    <row r="1496" spans="1:6" ht="15" customHeight="1">
      <c r="A1496" s="155">
        <v>40</v>
      </c>
      <c r="B1496" s="161" t="s">
        <v>3471</v>
      </c>
      <c r="C1496" s="162" t="s">
        <v>3476</v>
      </c>
      <c r="D1496" s="162" t="str">
        <f t="shared" si="24"/>
        <v>福岡県芦屋町</v>
      </c>
      <c r="E1496" s="161">
        <v>7</v>
      </c>
      <c r="F1496" s="157" t="s">
        <v>3477</v>
      </c>
    </row>
    <row r="1497" spans="1:6" ht="15" customHeight="1">
      <c r="A1497" s="155">
        <v>40</v>
      </c>
      <c r="B1497" s="161" t="s">
        <v>3471</v>
      </c>
      <c r="C1497" s="162" t="s">
        <v>3478</v>
      </c>
      <c r="D1497" s="162" t="str">
        <f t="shared" si="24"/>
        <v>福岡県飯塚市</v>
      </c>
      <c r="E1497" s="161">
        <v>6</v>
      </c>
      <c r="F1497" s="157" t="s">
        <v>3479</v>
      </c>
    </row>
    <row r="1498" spans="1:6" ht="15" customHeight="1">
      <c r="A1498" s="155">
        <v>40</v>
      </c>
      <c r="B1498" s="161" t="s">
        <v>3471</v>
      </c>
      <c r="C1498" s="162" t="s">
        <v>3480</v>
      </c>
      <c r="D1498" s="162" t="str">
        <f t="shared" si="24"/>
        <v>福岡県糸島市</v>
      </c>
      <c r="E1498" s="161">
        <v>6</v>
      </c>
      <c r="F1498" s="157" t="s">
        <v>3481</v>
      </c>
    </row>
    <row r="1499" spans="1:6" ht="15" customHeight="1">
      <c r="A1499" s="155">
        <v>40</v>
      </c>
      <c r="B1499" s="161" t="s">
        <v>3471</v>
      </c>
      <c r="C1499" s="162" t="s">
        <v>3482</v>
      </c>
      <c r="D1499" s="162" t="str">
        <f t="shared" si="24"/>
        <v>福岡県糸田町</v>
      </c>
      <c r="E1499" s="161">
        <v>6</v>
      </c>
      <c r="F1499" s="157" t="s">
        <v>3483</v>
      </c>
    </row>
    <row r="1500" spans="1:6" ht="15" customHeight="1">
      <c r="A1500" s="155">
        <v>40</v>
      </c>
      <c r="B1500" s="161" t="s">
        <v>3471</v>
      </c>
      <c r="C1500" s="162" t="s">
        <v>3484</v>
      </c>
      <c r="D1500" s="162" t="str">
        <f t="shared" si="24"/>
        <v>福岡県うきは市</v>
      </c>
      <c r="E1500" s="161">
        <v>6</v>
      </c>
      <c r="F1500" s="157" t="s">
        <v>3485</v>
      </c>
    </row>
    <row r="1501" spans="1:6" ht="15" customHeight="1">
      <c r="A1501" s="155">
        <v>40</v>
      </c>
      <c r="B1501" s="161" t="s">
        <v>3471</v>
      </c>
      <c r="C1501" s="162" t="s">
        <v>3486</v>
      </c>
      <c r="D1501" s="162" t="str">
        <f t="shared" si="24"/>
        <v>福岡県宇美町</v>
      </c>
      <c r="E1501" s="161">
        <v>6</v>
      </c>
      <c r="F1501" s="157" t="s">
        <v>3487</v>
      </c>
    </row>
    <row r="1502" spans="1:6" ht="15" customHeight="1">
      <c r="A1502" s="155">
        <v>40</v>
      </c>
      <c r="B1502" s="161" t="s">
        <v>3471</v>
      </c>
      <c r="C1502" s="162" t="s">
        <v>3488</v>
      </c>
      <c r="D1502" s="162" t="str">
        <f t="shared" si="24"/>
        <v>福岡県大川市</v>
      </c>
      <c r="E1502" s="161">
        <v>6</v>
      </c>
      <c r="F1502" s="157" t="s">
        <v>3489</v>
      </c>
    </row>
    <row r="1503" spans="1:6" ht="15" customHeight="1">
      <c r="A1503" s="155">
        <v>40</v>
      </c>
      <c r="B1503" s="161" t="s">
        <v>3471</v>
      </c>
      <c r="C1503" s="162" t="s">
        <v>3490</v>
      </c>
      <c r="D1503" s="162" t="str">
        <f t="shared" si="24"/>
        <v>福岡県大任町</v>
      </c>
      <c r="E1503" s="161">
        <v>6</v>
      </c>
      <c r="F1503" s="157" t="s">
        <v>3491</v>
      </c>
    </row>
    <row r="1504" spans="1:6" ht="15" customHeight="1">
      <c r="A1504" s="155">
        <v>40</v>
      </c>
      <c r="B1504" s="161" t="s">
        <v>3471</v>
      </c>
      <c r="C1504" s="162" t="s">
        <v>3492</v>
      </c>
      <c r="D1504" s="162" t="str">
        <f t="shared" si="24"/>
        <v>福岡県大野城市</v>
      </c>
      <c r="E1504" s="161">
        <v>6</v>
      </c>
      <c r="F1504" s="157" t="s">
        <v>3493</v>
      </c>
    </row>
    <row r="1505" spans="1:6" ht="15" customHeight="1">
      <c r="A1505" s="155">
        <v>40</v>
      </c>
      <c r="B1505" s="161" t="s">
        <v>3471</v>
      </c>
      <c r="C1505" s="162" t="s">
        <v>3494</v>
      </c>
      <c r="D1505" s="162" t="str">
        <f t="shared" si="24"/>
        <v>福岡県大牟田市</v>
      </c>
      <c r="E1505" s="161">
        <v>6</v>
      </c>
      <c r="F1505" s="157" t="s">
        <v>3495</v>
      </c>
    </row>
    <row r="1506" spans="1:6" ht="15" customHeight="1">
      <c r="A1506" s="155">
        <v>40</v>
      </c>
      <c r="B1506" s="161" t="s">
        <v>3471</v>
      </c>
      <c r="C1506" s="162" t="s">
        <v>3496</v>
      </c>
      <c r="D1506" s="162" t="str">
        <f t="shared" si="24"/>
        <v>福岡県岡垣町</v>
      </c>
      <c r="E1506" s="161">
        <v>6</v>
      </c>
      <c r="F1506" s="157" t="s">
        <v>3497</v>
      </c>
    </row>
    <row r="1507" spans="1:6" ht="15" customHeight="1">
      <c r="A1507" s="155">
        <v>40</v>
      </c>
      <c r="B1507" s="161" t="s">
        <v>3471</v>
      </c>
      <c r="C1507" s="162" t="s">
        <v>3498</v>
      </c>
      <c r="D1507" s="162" t="str">
        <f t="shared" si="24"/>
        <v>福岡県小郡市</v>
      </c>
      <c r="E1507" s="161">
        <v>6</v>
      </c>
      <c r="F1507" s="157" t="s">
        <v>3499</v>
      </c>
    </row>
    <row r="1508" spans="1:6" ht="15" customHeight="1">
      <c r="A1508" s="155">
        <v>40</v>
      </c>
      <c r="B1508" s="161" t="s">
        <v>3471</v>
      </c>
      <c r="C1508" s="162" t="s">
        <v>3500</v>
      </c>
      <c r="D1508" s="162" t="str">
        <f t="shared" si="24"/>
        <v>福岡県遠賀町</v>
      </c>
      <c r="E1508" s="161">
        <v>6</v>
      </c>
      <c r="F1508" s="157" t="s">
        <v>3501</v>
      </c>
    </row>
    <row r="1509" spans="1:6" ht="15" customHeight="1">
      <c r="A1509" s="155">
        <v>40</v>
      </c>
      <c r="B1509" s="161" t="s">
        <v>3471</v>
      </c>
      <c r="C1509" s="162" t="s">
        <v>3502</v>
      </c>
      <c r="D1509" s="162" t="str">
        <f t="shared" si="24"/>
        <v>福岡県春日市</v>
      </c>
      <c r="E1509" s="161">
        <v>6</v>
      </c>
      <c r="F1509" s="157" t="s">
        <v>3503</v>
      </c>
    </row>
    <row r="1510" spans="1:6" ht="15" customHeight="1">
      <c r="A1510" s="155">
        <v>40</v>
      </c>
      <c r="B1510" s="161" t="s">
        <v>3471</v>
      </c>
      <c r="C1510" s="162" t="s">
        <v>3504</v>
      </c>
      <c r="D1510" s="162" t="str">
        <f t="shared" si="24"/>
        <v>福岡県粕屋町</v>
      </c>
      <c r="E1510" s="161">
        <v>7</v>
      </c>
      <c r="F1510" s="157" t="s">
        <v>3505</v>
      </c>
    </row>
    <row r="1511" spans="1:6" ht="15" customHeight="1">
      <c r="A1511" s="155">
        <v>40</v>
      </c>
      <c r="B1511" s="161" t="s">
        <v>3471</v>
      </c>
      <c r="C1511" s="162" t="s">
        <v>3506</v>
      </c>
      <c r="D1511" s="162" t="str">
        <f t="shared" si="24"/>
        <v>福岡県嘉麻市</v>
      </c>
      <c r="E1511" s="161">
        <v>6</v>
      </c>
      <c r="F1511" s="157" t="s">
        <v>3507</v>
      </c>
    </row>
    <row r="1512" spans="1:6" ht="15" customHeight="1">
      <c r="A1512" s="155">
        <v>40</v>
      </c>
      <c r="B1512" s="161" t="s">
        <v>3471</v>
      </c>
      <c r="C1512" s="162" t="s">
        <v>1111</v>
      </c>
      <c r="D1512" s="162" t="str">
        <f t="shared" si="24"/>
        <v>福岡県川崎町</v>
      </c>
      <c r="E1512" s="161">
        <v>6</v>
      </c>
      <c r="F1512" s="157" t="s">
        <v>1112</v>
      </c>
    </row>
    <row r="1513" spans="1:6" ht="15" customHeight="1">
      <c r="A1513" s="155">
        <v>40</v>
      </c>
      <c r="B1513" s="161" t="s">
        <v>3471</v>
      </c>
      <c r="C1513" s="162" t="s">
        <v>3508</v>
      </c>
      <c r="D1513" s="162" t="str">
        <f t="shared" si="24"/>
        <v>福岡県苅田町</v>
      </c>
      <c r="E1513" s="161">
        <v>6</v>
      </c>
      <c r="F1513" s="157" t="s">
        <v>3509</v>
      </c>
    </row>
    <row r="1514" spans="1:6" ht="15" customHeight="1">
      <c r="A1514" s="155">
        <v>40</v>
      </c>
      <c r="B1514" s="161" t="s">
        <v>3471</v>
      </c>
      <c r="C1514" s="162" t="s">
        <v>3510</v>
      </c>
      <c r="D1514" s="162" t="str">
        <f t="shared" si="24"/>
        <v>福岡県北九州市</v>
      </c>
      <c r="E1514" s="161">
        <v>6</v>
      </c>
      <c r="F1514" s="157" t="s">
        <v>3511</v>
      </c>
    </row>
    <row r="1515" spans="1:6" ht="15" customHeight="1">
      <c r="A1515" s="155">
        <v>40</v>
      </c>
      <c r="B1515" s="161" t="s">
        <v>3471</v>
      </c>
      <c r="C1515" s="162" t="s">
        <v>3512</v>
      </c>
      <c r="D1515" s="162" t="str">
        <f t="shared" si="24"/>
        <v>福岡県鞍手町</v>
      </c>
      <c r="E1515" s="161">
        <v>6</v>
      </c>
      <c r="F1515" s="157" t="s">
        <v>3513</v>
      </c>
    </row>
    <row r="1516" spans="1:6" ht="15" customHeight="1">
      <c r="A1516" s="155">
        <v>40</v>
      </c>
      <c r="B1516" s="161" t="s">
        <v>3471</v>
      </c>
      <c r="C1516" s="162" t="s">
        <v>3514</v>
      </c>
      <c r="D1516" s="162" t="str">
        <f t="shared" si="24"/>
        <v>福岡県久留米市</v>
      </c>
      <c r="E1516" s="161">
        <v>6</v>
      </c>
      <c r="F1516" s="157" t="s">
        <v>3515</v>
      </c>
    </row>
    <row r="1517" spans="1:6" ht="15" customHeight="1">
      <c r="A1517" s="155">
        <v>40</v>
      </c>
      <c r="B1517" s="161" t="s">
        <v>3471</v>
      </c>
      <c r="C1517" s="162" t="s">
        <v>3516</v>
      </c>
      <c r="D1517" s="162" t="str">
        <f t="shared" si="24"/>
        <v>福岡県桂川町</v>
      </c>
      <c r="E1517" s="161">
        <v>6</v>
      </c>
      <c r="F1517" s="157" t="s">
        <v>3517</v>
      </c>
    </row>
    <row r="1518" spans="1:6" ht="15" customHeight="1">
      <c r="A1518" s="155">
        <v>40</v>
      </c>
      <c r="B1518" s="161" t="s">
        <v>3471</v>
      </c>
      <c r="C1518" s="162" t="s">
        <v>3518</v>
      </c>
      <c r="D1518" s="162" t="str">
        <f t="shared" si="24"/>
        <v>福岡県古賀市</v>
      </c>
      <c r="E1518" s="161">
        <v>6</v>
      </c>
      <c r="F1518" s="157" t="s">
        <v>1380</v>
      </c>
    </row>
    <row r="1519" spans="1:6" ht="15" customHeight="1">
      <c r="A1519" s="155">
        <v>40</v>
      </c>
      <c r="B1519" s="161" t="s">
        <v>3471</v>
      </c>
      <c r="C1519" s="162" t="s">
        <v>3519</v>
      </c>
      <c r="D1519" s="162" t="str">
        <f t="shared" si="24"/>
        <v>福岡県小竹町</v>
      </c>
      <c r="E1519" s="161">
        <v>6</v>
      </c>
      <c r="F1519" s="157" t="s">
        <v>3520</v>
      </c>
    </row>
    <row r="1520" spans="1:6" ht="15" customHeight="1">
      <c r="A1520" s="155">
        <v>40</v>
      </c>
      <c r="B1520" s="161" t="s">
        <v>3471</v>
      </c>
      <c r="C1520" s="162" t="s">
        <v>3521</v>
      </c>
      <c r="D1520" s="162" t="str">
        <f t="shared" si="24"/>
        <v>福岡県篠栗町</v>
      </c>
      <c r="E1520" s="161">
        <v>6</v>
      </c>
      <c r="F1520" s="157" t="s">
        <v>3522</v>
      </c>
    </row>
    <row r="1521" spans="1:6" ht="15" customHeight="1">
      <c r="A1521" s="155">
        <v>40</v>
      </c>
      <c r="B1521" s="161" t="s">
        <v>3471</v>
      </c>
      <c r="C1521" s="162" t="s">
        <v>3523</v>
      </c>
      <c r="D1521" s="162" t="str">
        <f t="shared" si="24"/>
        <v>福岡県志免町</v>
      </c>
      <c r="E1521" s="161">
        <v>7</v>
      </c>
      <c r="F1521" s="157" t="s">
        <v>3524</v>
      </c>
    </row>
    <row r="1522" spans="1:6" ht="15" customHeight="1">
      <c r="A1522" s="155">
        <v>40</v>
      </c>
      <c r="B1522" s="161" t="s">
        <v>3471</v>
      </c>
      <c r="C1522" s="162" t="s">
        <v>3525</v>
      </c>
      <c r="D1522" s="162" t="str">
        <f t="shared" si="24"/>
        <v>福岡県上毛町</v>
      </c>
      <c r="E1522" s="161">
        <v>6</v>
      </c>
      <c r="F1522" s="157" t="s">
        <v>3526</v>
      </c>
    </row>
    <row r="1523" spans="1:6" ht="15" customHeight="1">
      <c r="A1523" s="155">
        <v>40</v>
      </c>
      <c r="B1523" s="161" t="s">
        <v>3471</v>
      </c>
      <c r="C1523" s="162" t="s">
        <v>3527</v>
      </c>
      <c r="D1523" s="162" t="str">
        <f t="shared" si="24"/>
        <v>福岡県新宮町</v>
      </c>
      <c r="E1523" s="161">
        <v>7</v>
      </c>
      <c r="F1523" s="157" t="s">
        <v>3528</v>
      </c>
    </row>
    <row r="1524" spans="1:6" ht="15" customHeight="1">
      <c r="A1524" s="155">
        <v>40</v>
      </c>
      <c r="B1524" s="161" t="s">
        <v>3471</v>
      </c>
      <c r="C1524" s="162" t="s">
        <v>3529</v>
      </c>
      <c r="D1524" s="162" t="str">
        <f t="shared" si="24"/>
        <v>福岡県須恵町</v>
      </c>
      <c r="E1524" s="161">
        <v>6</v>
      </c>
      <c r="F1524" s="157" t="s">
        <v>3530</v>
      </c>
    </row>
    <row r="1525" spans="1:6" ht="15" customHeight="1">
      <c r="A1525" s="155">
        <v>40</v>
      </c>
      <c r="B1525" s="161" t="s">
        <v>3471</v>
      </c>
      <c r="C1525" s="162" t="s">
        <v>3531</v>
      </c>
      <c r="D1525" s="162" t="str">
        <f t="shared" si="24"/>
        <v>福岡県添田町</v>
      </c>
      <c r="E1525" s="161">
        <v>6</v>
      </c>
      <c r="F1525" s="157" t="s">
        <v>3532</v>
      </c>
    </row>
    <row r="1526" spans="1:6" ht="15" customHeight="1">
      <c r="A1526" s="155">
        <v>40</v>
      </c>
      <c r="B1526" s="161" t="s">
        <v>3471</v>
      </c>
      <c r="C1526" s="162" t="s">
        <v>3533</v>
      </c>
      <c r="D1526" s="162" t="str">
        <f t="shared" si="24"/>
        <v>福岡県大木町</v>
      </c>
      <c r="E1526" s="161">
        <v>6</v>
      </c>
      <c r="F1526" s="157" t="s">
        <v>3534</v>
      </c>
    </row>
    <row r="1527" spans="1:6" ht="15" customHeight="1">
      <c r="A1527" s="155">
        <v>40</v>
      </c>
      <c r="B1527" s="161" t="s">
        <v>3471</v>
      </c>
      <c r="C1527" s="162" t="s">
        <v>3535</v>
      </c>
      <c r="D1527" s="162" t="str">
        <f t="shared" si="24"/>
        <v>福岡県田川市</v>
      </c>
      <c r="E1527" s="161">
        <v>6</v>
      </c>
      <c r="F1527" s="157" t="s">
        <v>3536</v>
      </c>
    </row>
    <row r="1528" spans="1:6" ht="15" customHeight="1">
      <c r="A1528" s="155">
        <v>40</v>
      </c>
      <c r="B1528" s="161" t="s">
        <v>3471</v>
      </c>
      <c r="C1528" s="162" t="s">
        <v>3537</v>
      </c>
      <c r="D1528" s="162" t="str">
        <f t="shared" si="24"/>
        <v>福岡県太宰府市</v>
      </c>
      <c r="E1528" s="161">
        <v>6</v>
      </c>
      <c r="F1528" s="157" t="s">
        <v>3538</v>
      </c>
    </row>
    <row r="1529" spans="1:6" ht="15" customHeight="1">
      <c r="A1529" s="155">
        <v>40</v>
      </c>
      <c r="B1529" s="161" t="s">
        <v>3471</v>
      </c>
      <c r="C1529" s="162" t="s">
        <v>3539</v>
      </c>
      <c r="D1529" s="162" t="str">
        <f t="shared" si="24"/>
        <v>福岡県大刀洗町</v>
      </c>
      <c r="E1529" s="161">
        <v>6</v>
      </c>
      <c r="F1529" s="157" t="s">
        <v>3540</v>
      </c>
    </row>
    <row r="1530" spans="1:6" ht="15" customHeight="1">
      <c r="A1530" s="155">
        <v>40</v>
      </c>
      <c r="B1530" s="161" t="s">
        <v>3471</v>
      </c>
      <c r="C1530" s="162" t="s">
        <v>3541</v>
      </c>
      <c r="D1530" s="162" t="str">
        <f t="shared" si="24"/>
        <v>福岡県筑後市</v>
      </c>
      <c r="E1530" s="161">
        <v>6</v>
      </c>
      <c r="F1530" s="157" t="s">
        <v>3542</v>
      </c>
    </row>
    <row r="1531" spans="1:6" ht="15" customHeight="1">
      <c r="A1531" s="155">
        <v>40</v>
      </c>
      <c r="B1531" s="161" t="s">
        <v>3471</v>
      </c>
      <c r="C1531" s="162" t="s">
        <v>3543</v>
      </c>
      <c r="D1531" s="162" t="str">
        <f t="shared" si="24"/>
        <v>福岡県筑紫野市</v>
      </c>
      <c r="E1531" s="161">
        <v>6</v>
      </c>
      <c r="F1531" s="157" t="s">
        <v>3544</v>
      </c>
    </row>
    <row r="1532" spans="1:6" ht="15" customHeight="1">
      <c r="A1532" s="155">
        <v>40</v>
      </c>
      <c r="B1532" s="161" t="s">
        <v>3471</v>
      </c>
      <c r="C1532" s="162" t="s">
        <v>3545</v>
      </c>
      <c r="D1532" s="162" t="str">
        <f t="shared" si="24"/>
        <v>福岡県築上町</v>
      </c>
      <c r="E1532" s="161">
        <v>6</v>
      </c>
      <c r="F1532" s="157" t="s">
        <v>3546</v>
      </c>
    </row>
    <row r="1533" spans="1:6" ht="15" customHeight="1">
      <c r="A1533" s="155">
        <v>40</v>
      </c>
      <c r="B1533" s="161" t="s">
        <v>3471</v>
      </c>
      <c r="C1533" s="162" t="s">
        <v>3547</v>
      </c>
      <c r="D1533" s="162" t="str">
        <f t="shared" si="24"/>
        <v>福岡県筑前町</v>
      </c>
      <c r="E1533" s="161">
        <v>6</v>
      </c>
      <c r="F1533" s="157" t="s">
        <v>3548</v>
      </c>
    </row>
    <row r="1534" spans="1:6" ht="15" customHeight="1">
      <c r="A1534" s="155">
        <v>40</v>
      </c>
      <c r="B1534" s="161" t="s">
        <v>3471</v>
      </c>
      <c r="C1534" s="162" t="s">
        <v>3549</v>
      </c>
      <c r="D1534" s="162" t="str">
        <f t="shared" si="24"/>
        <v>福岡県東峰村</v>
      </c>
      <c r="E1534" s="161">
        <v>5</v>
      </c>
      <c r="F1534" s="157" t="s">
        <v>3550</v>
      </c>
    </row>
    <row r="1535" spans="1:6" ht="15" customHeight="1">
      <c r="A1535" s="155">
        <v>40</v>
      </c>
      <c r="B1535" s="161" t="s">
        <v>3471</v>
      </c>
      <c r="C1535" s="162" t="s">
        <v>3551</v>
      </c>
      <c r="D1535" s="162" t="str">
        <f t="shared" si="24"/>
        <v>福岡県那珂川市</v>
      </c>
      <c r="E1535" s="161">
        <v>6</v>
      </c>
      <c r="F1535" s="157" t="s">
        <v>3552</v>
      </c>
    </row>
    <row r="1536" spans="1:6" ht="15" customHeight="1">
      <c r="A1536" s="155">
        <v>40</v>
      </c>
      <c r="B1536" s="161" t="s">
        <v>3471</v>
      </c>
      <c r="C1536" s="162" t="s">
        <v>3553</v>
      </c>
      <c r="D1536" s="162" t="str">
        <f t="shared" si="24"/>
        <v>福岡県中間市</v>
      </c>
      <c r="E1536" s="161">
        <v>6</v>
      </c>
      <c r="F1536" s="157" t="s">
        <v>3554</v>
      </c>
    </row>
    <row r="1537" spans="1:6" ht="15" customHeight="1">
      <c r="A1537" s="155">
        <v>40</v>
      </c>
      <c r="B1537" s="161" t="s">
        <v>3471</v>
      </c>
      <c r="C1537" s="162" t="s">
        <v>3555</v>
      </c>
      <c r="D1537" s="162" t="str">
        <f t="shared" si="24"/>
        <v>福岡県直方市</v>
      </c>
      <c r="E1537" s="161">
        <v>6</v>
      </c>
      <c r="F1537" s="157" t="s">
        <v>3556</v>
      </c>
    </row>
    <row r="1538" spans="1:6" ht="15" customHeight="1">
      <c r="A1538" s="155">
        <v>40</v>
      </c>
      <c r="B1538" s="161" t="s">
        <v>3471</v>
      </c>
      <c r="C1538" s="162" t="s">
        <v>3557</v>
      </c>
      <c r="D1538" s="162" t="str">
        <f t="shared" si="24"/>
        <v>福岡県久山町</v>
      </c>
      <c r="E1538" s="161">
        <v>6</v>
      </c>
      <c r="F1538" s="157" t="s">
        <v>3558</v>
      </c>
    </row>
    <row r="1539" spans="1:6" ht="15" customHeight="1">
      <c r="A1539" s="155">
        <v>40</v>
      </c>
      <c r="B1539" s="161" t="s">
        <v>3471</v>
      </c>
      <c r="C1539" s="162" t="s">
        <v>3071</v>
      </c>
      <c r="D1539" s="162" t="str">
        <f t="shared" si="24"/>
        <v>福岡県広川町</v>
      </c>
      <c r="E1539" s="161">
        <v>6</v>
      </c>
      <c r="F1539" s="157" t="s">
        <v>3072</v>
      </c>
    </row>
    <row r="1540" spans="1:6" ht="15" customHeight="1">
      <c r="A1540" s="155">
        <v>40</v>
      </c>
      <c r="B1540" s="161" t="s">
        <v>3471</v>
      </c>
      <c r="C1540" s="162" t="s">
        <v>3559</v>
      </c>
      <c r="D1540" s="162" t="str">
        <f t="shared" ref="D1540:D1603" si="25">B1540&amp;C1540</f>
        <v>福岡県福岡市</v>
      </c>
      <c r="E1540" s="161">
        <v>7</v>
      </c>
      <c r="F1540" s="157" t="s">
        <v>3560</v>
      </c>
    </row>
    <row r="1541" spans="1:6" ht="15" customHeight="1">
      <c r="A1541" s="155">
        <v>40</v>
      </c>
      <c r="B1541" s="161" t="s">
        <v>3471</v>
      </c>
      <c r="C1541" s="162" t="s">
        <v>3561</v>
      </c>
      <c r="D1541" s="162" t="str">
        <f t="shared" si="25"/>
        <v>福岡県福智町</v>
      </c>
      <c r="E1541" s="161">
        <v>6</v>
      </c>
      <c r="F1541" s="157" t="s">
        <v>3562</v>
      </c>
    </row>
    <row r="1542" spans="1:6" ht="15" customHeight="1">
      <c r="A1542" s="155">
        <v>40</v>
      </c>
      <c r="B1542" s="161" t="s">
        <v>3471</v>
      </c>
      <c r="C1542" s="162" t="s">
        <v>3563</v>
      </c>
      <c r="D1542" s="162" t="str">
        <f t="shared" si="25"/>
        <v>福岡県福津市</v>
      </c>
      <c r="E1542" s="161">
        <v>6</v>
      </c>
      <c r="F1542" s="157" t="s">
        <v>3564</v>
      </c>
    </row>
    <row r="1543" spans="1:6" ht="15" customHeight="1">
      <c r="A1543" s="155">
        <v>40</v>
      </c>
      <c r="B1543" s="161" t="s">
        <v>3471</v>
      </c>
      <c r="C1543" s="162" t="s">
        <v>3565</v>
      </c>
      <c r="D1543" s="162" t="str">
        <f t="shared" si="25"/>
        <v>福岡県豊前市</v>
      </c>
      <c r="E1543" s="161">
        <v>6</v>
      </c>
      <c r="F1543" s="157" t="s">
        <v>3566</v>
      </c>
    </row>
    <row r="1544" spans="1:6" ht="15" customHeight="1">
      <c r="A1544" s="155">
        <v>40</v>
      </c>
      <c r="B1544" s="161" t="s">
        <v>3471</v>
      </c>
      <c r="C1544" s="162" t="s">
        <v>3567</v>
      </c>
      <c r="D1544" s="162" t="str">
        <f t="shared" si="25"/>
        <v>福岡県水巻町</v>
      </c>
      <c r="E1544" s="161">
        <v>6</v>
      </c>
      <c r="F1544" s="157" t="s">
        <v>3568</v>
      </c>
    </row>
    <row r="1545" spans="1:6" ht="15" customHeight="1">
      <c r="A1545" s="155">
        <v>40</v>
      </c>
      <c r="B1545" s="161" t="s">
        <v>3471</v>
      </c>
      <c r="C1545" s="162" t="s">
        <v>3569</v>
      </c>
      <c r="D1545" s="162" t="str">
        <f t="shared" si="25"/>
        <v>福岡県みやこ町</v>
      </c>
      <c r="E1545" s="161">
        <v>6</v>
      </c>
      <c r="F1545" s="157" t="s">
        <v>3570</v>
      </c>
    </row>
    <row r="1546" spans="1:6" ht="15" customHeight="1">
      <c r="A1546" s="155">
        <v>40</v>
      </c>
      <c r="B1546" s="161" t="s">
        <v>3471</v>
      </c>
      <c r="C1546" s="162" t="s">
        <v>3571</v>
      </c>
      <c r="D1546" s="162" t="str">
        <f t="shared" si="25"/>
        <v>福岡県みやま市</v>
      </c>
      <c r="E1546" s="161">
        <v>6</v>
      </c>
      <c r="F1546" s="157" t="s">
        <v>3572</v>
      </c>
    </row>
    <row r="1547" spans="1:6" ht="15" customHeight="1">
      <c r="A1547" s="155">
        <v>40</v>
      </c>
      <c r="B1547" s="161" t="s">
        <v>3471</v>
      </c>
      <c r="C1547" s="162" t="s">
        <v>3573</v>
      </c>
      <c r="D1547" s="162" t="str">
        <f t="shared" si="25"/>
        <v>福岡県宮若市</v>
      </c>
      <c r="E1547" s="161">
        <v>6</v>
      </c>
      <c r="F1547" s="157" t="s">
        <v>3574</v>
      </c>
    </row>
    <row r="1548" spans="1:6" ht="15" customHeight="1">
      <c r="A1548" s="155">
        <v>40</v>
      </c>
      <c r="B1548" s="161" t="s">
        <v>3471</v>
      </c>
      <c r="C1548" s="162" t="s">
        <v>3575</v>
      </c>
      <c r="D1548" s="162" t="str">
        <f t="shared" si="25"/>
        <v>福岡県宗像市</v>
      </c>
      <c r="E1548" s="161">
        <v>6</v>
      </c>
      <c r="F1548" s="157" t="s">
        <v>3576</v>
      </c>
    </row>
    <row r="1549" spans="1:6" ht="15" customHeight="1">
      <c r="A1549" s="155">
        <v>40</v>
      </c>
      <c r="B1549" s="161" t="s">
        <v>3471</v>
      </c>
      <c r="C1549" s="162" t="s">
        <v>3577</v>
      </c>
      <c r="D1549" s="162" t="str">
        <f t="shared" si="25"/>
        <v>福岡県柳川市</v>
      </c>
      <c r="E1549" s="161">
        <v>6</v>
      </c>
      <c r="F1549" s="157" t="s">
        <v>3578</v>
      </c>
    </row>
    <row r="1550" spans="1:6" ht="15" customHeight="1">
      <c r="A1550" s="155">
        <v>40</v>
      </c>
      <c r="B1550" s="161" t="s">
        <v>3471</v>
      </c>
      <c r="C1550" s="162" t="s">
        <v>3579</v>
      </c>
      <c r="D1550" s="162" t="str">
        <f t="shared" si="25"/>
        <v>福岡県八女市</v>
      </c>
      <c r="E1550" s="161">
        <v>6</v>
      </c>
      <c r="F1550" s="157" t="s">
        <v>3580</v>
      </c>
    </row>
    <row r="1551" spans="1:6" ht="15" customHeight="1">
      <c r="A1551" s="155">
        <v>40</v>
      </c>
      <c r="B1551" s="161" t="s">
        <v>3471</v>
      </c>
      <c r="C1551" s="162" t="s">
        <v>3581</v>
      </c>
      <c r="D1551" s="162" t="str">
        <f t="shared" si="25"/>
        <v>福岡県行橋市</v>
      </c>
      <c r="E1551" s="161">
        <v>6</v>
      </c>
      <c r="F1551" s="157" t="s">
        <v>3582</v>
      </c>
    </row>
    <row r="1552" spans="1:6" ht="15" customHeight="1">
      <c r="A1552" s="155">
        <v>40</v>
      </c>
      <c r="B1552" s="161" t="s">
        <v>3471</v>
      </c>
      <c r="C1552" s="162" t="s">
        <v>3583</v>
      </c>
      <c r="D1552" s="162" t="str">
        <f t="shared" si="25"/>
        <v>福岡県吉富町</v>
      </c>
      <c r="E1552" s="161">
        <v>6</v>
      </c>
      <c r="F1552" s="157" t="s">
        <v>3584</v>
      </c>
    </row>
    <row r="1553" spans="1:6" ht="15" customHeight="1">
      <c r="A1553" s="155">
        <v>41</v>
      </c>
      <c r="B1553" s="161" t="s">
        <v>3585</v>
      </c>
      <c r="C1553" s="162" t="s">
        <v>3353</v>
      </c>
      <c r="D1553" s="162" t="str">
        <f t="shared" si="25"/>
        <v>佐賀県全ての市町　</v>
      </c>
      <c r="E1553" s="161">
        <v>6</v>
      </c>
      <c r="F1553" s="157" t="s">
        <v>3354</v>
      </c>
    </row>
    <row r="1554" spans="1:6" ht="15" customHeight="1">
      <c r="A1554" s="155">
        <v>42</v>
      </c>
      <c r="B1554" s="161" t="s">
        <v>3586</v>
      </c>
      <c r="C1554" s="162" t="s">
        <v>3587</v>
      </c>
      <c r="D1554" s="162" t="str">
        <f t="shared" si="25"/>
        <v>長崎県壱岐市</v>
      </c>
      <c r="E1554" s="161">
        <v>7</v>
      </c>
      <c r="F1554" s="157" t="s">
        <v>3588</v>
      </c>
    </row>
    <row r="1555" spans="1:6" ht="15" customHeight="1">
      <c r="A1555" s="155">
        <v>42</v>
      </c>
      <c r="B1555" s="161" t="s">
        <v>3586</v>
      </c>
      <c r="C1555" s="162" t="s">
        <v>3589</v>
      </c>
      <c r="D1555" s="162" t="str">
        <f t="shared" si="25"/>
        <v>長崎県諫早市</v>
      </c>
      <c r="E1555" s="161">
        <v>7</v>
      </c>
      <c r="F1555" s="157" t="s">
        <v>3590</v>
      </c>
    </row>
    <row r="1556" spans="1:6" ht="15" customHeight="1">
      <c r="A1556" s="155">
        <v>42</v>
      </c>
      <c r="B1556" s="161" t="s">
        <v>3586</v>
      </c>
      <c r="C1556" s="162" t="s">
        <v>3591</v>
      </c>
      <c r="D1556" s="162" t="str">
        <f t="shared" si="25"/>
        <v>長崎県雲仙市（旧小浜町に限る。）</v>
      </c>
      <c r="E1556" s="161">
        <v>6</v>
      </c>
      <c r="F1556" s="157" t="s">
        <v>3592</v>
      </c>
    </row>
    <row r="1557" spans="1:6" ht="15" customHeight="1">
      <c r="A1557" s="155">
        <v>42</v>
      </c>
      <c r="B1557" s="161" t="s">
        <v>3586</v>
      </c>
      <c r="C1557" s="162" t="s">
        <v>3593</v>
      </c>
      <c r="D1557" s="162" t="str">
        <f t="shared" si="25"/>
        <v>長崎県雲仙市（旧小浜町を除く。）</v>
      </c>
      <c r="E1557" s="161">
        <v>7</v>
      </c>
      <c r="F1557" s="157" t="s">
        <v>3594</v>
      </c>
    </row>
    <row r="1558" spans="1:6" ht="15" customHeight="1">
      <c r="A1558" s="155">
        <v>42</v>
      </c>
      <c r="B1558" s="161" t="s">
        <v>3586</v>
      </c>
      <c r="C1558" s="162" t="s">
        <v>3595</v>
      </c>
      <c r="D1558" s="162" t="str">
        <f t="shared" si="25"/>
        <v>長崎県大村市</v>
      </c>
      <c r="E1558" s="161">
        <v>7</v>
      </c>
      <c r="F1558" s="157" t="s">
        <v>3596</v>
      </c>
    </row>
    <row r="1559" spans="1:6" ht="15" customHeight="1">
      <c r="A1559" s="155">
        <v>42</v>
      </c>
      <c r="B1559" s="161" t="s">
        <v>3586</v>
      </c>
      <c r="C1559" s="162" t="s">
        <v>3597</v>
      </c>
      <c r="D1559" s="162" t="str">
        <f t="shared" si="25"/>
        <v>長崎県小値賀町</v>
      </c>
      <c r="E1559" s="161">
        <v>7</v>
      </c>
      <c r="F1559" s="157" t="s">
        <v>3598</v>
      </c>
    </row>
    <row r="1560" spans="1:6" ht="15" customHeight="1">
      <c r="A1560" s="155">
        <v>42</v>
      </c>
      <c r="B1560" s="161" t="s">
        <v>3586</v>
      </c>
      <c r="C1560" s="162" t="s">
        <v>3599</v>
      </c>
      <c r="D1560" s="162" t="str">
        <f t="shared" si="25"/>
        <v>長崎県川棚町</v>
      </c>
      <c r="E1560" s="161">
        <v>6</v>
      </c>
      <c r="F1560" s="157" t="s">
        <v>3600</v>
      </c>
    </row>
    <row r="1561" spans="1:6" ht="15" customHeight="1">
      <c r="A1561" s="155">
        <v>42</v>
      </c>
      <c r="B1561" s="161" t="s">
        <v>3586</v>
      </c>
      <c r="C1561" s="162" t="s">
        <v>3601</v>
      </c>
      <c r="D1561" s="162" t="str">
        <f t="shared" si="25"/>
        <v>長崎県五島市</v>
      </c>
      <c r="E1561" s="161">
        <v>7</v>
      </c>
      <c r="F1561" s="157" t="s">
        <v>3602</v>
      </c>
    </row>
    <row r="1562" spans="1:6" ht="15" customHeight="1">
      <c r="A1562" s="155">
        <v>42</v>
      </c>
      <c r="B1562" s="161" t="s">
        <v>3586</v>
      </c>
      <c r="C1562" s="162" t="s">
        <v>3603</v>
      </c>
      <c r="D1562" s="162" t="str">
        <f t="shared" si="25"/>
        <v>長崎県佐々町</v>
      </c>
      <c r="E1562" s="161">
        <v>6</v>
      </c>
      <c r="F1562" s="157" t="s">
        <v>3604</v>
      </c>
    </row>
    <row r="1563" spans="1:6" ht="15" customHeight="1">
      <c r="A1563" s="155">
        <v>42</v>
      </c>
      <c r="B1563" s="161" t="s">
        <v>3586</v>
      </c>
      <c r="C1563" s="162" t="s">
        <v>3605</v>
      </c>
      <c r="D1563" s="162" t="str">
        <f t="shared" si="25"/>
        <v>長崎県佐世保市</v>
      </c>
      <c r="E1563" s="161">
        <v>6</v>
      </c>
      <c r="F1563" s="157" t="s">
        <v>3606</v>
      </c>
    </row>
    <row r="1564" spans="1:6" ht="15" customHeight="1">
      <c r="A1564" s="155">
        <v>42</v>
      </c>
      <c r="B1564" s="161" t="s">
        <v>3586</v>
      </c>
      <c r="C1564" s="162" t="s">
        <v>3607</v>
      </c>
      <c r="D1564" s="162" t="str">
        <f t="shared" si="25"/>
        <v>長崎県島原市</v>
      </c>
      <c r="E1564" s="161">
        <v>7</v>
      </c>
      <c r="F1564" s="157" t="s">
        <v>3608</v>
      </c>
    </row>
    <row r="1565" spans="1:6" ht="15" customHeight="1">
      <c r="A1565" s="155">
        <v>42</v>
      </c>
      <c r="B1565" s="161" t="s">
        <v>3586</v>
      </c>
      <c r="C1565" s="162" t="s">
        <v>3609</v>
      </c>
      <c r="D1565" s="162" t="str">
        <f t="shared" si="25"/>
        <v>長崎県新上五島町</v>
      </c>
      <c r="E1565" s="161">
        <v>7</v>
      </c>
      <c r="F1565" s="157" t="s">
        <v>3610</v>
      </c>
    </row>
    <row r="1566" spans="1:6" ht="15" customHeight="1">
      <c r="A1566" s="155">
        <v>42</v>
      </c>
      <c r="B1566" s="161" t="s">
        <v>3586</v>
      </c>
      <c r="C1566" s="162" t="s">
        <v>3611</v>
      </c>
      <c r="D1566" s="162" t="str">
        <f t="shared" si="25"/>
        <v>長崎県対馬市</v>
      </c>
      <c r="E1566" s="161">
        <v>6</v>
      </c>
      <c r="F1566" s="157" t="s">
        <v>2570</v>
      </c>
    </row>
    <row r="1567" spans="1:6" ht="15" customHeight="1">
      <c r="A1567" s="155">
        <v>42</v>
      </c>
      <c r="B1567" s="161" t="s">
        <v>3586</v>
      </c>
      <c r="C1567" s="162" t="s">
        <v>3612</v>
      </c>
      <c r="D1567" s="162" t="str">
        <f t="shared" si="25"/>
        <v>長崎県時津町</v>
      </c>
      <c r="E1567" s="161">
        <v>7</v>
      </c>
      <c r="F1567" s="157" t="s">
        <v>3613</v>
      </c>
    </row>
    <row r="1568" spans="1:6" ht="15" customHeight="1">
      <c r="A1568" s="155">
        <v>42</v>
      </c>
      <c r="B1568" s="161" t="s">
        <v>3586</v>
      </c>
      <c r="C1568" s="162" t="s">
        <v>3614</v>
      </c>
      <c r="D1568" s="162" t="str">
        <f t="shared" si="25"/>
        <v>長崎県長崎市</v>
      </c>
      <c r="E1568" s="161">
        <v>7</v>
      </c>
      <c r="F1568" s="157" t="s">
        <v>3615</v>
      </c>
    </row>
    <row r="1569" spans="1:6" ht="15" customHeight="1">
      <c r="A1569" s="155">
        <v>42</v>
      </c>
      <c r="B1569" s="161" t="s">
        <v>3586</v>
      </c>
      <c r="C1569" s="162" t="s">
        <v>3616</v>
      </c>
      <c r="D1569" s="162" t="str">
        <f t="shared" si="25"/>
        <v>長崎県長与町</v>
      </c>
      <c r="E1569" s="161">
        <v>7</v>
      </c>
      <c r="F1569" s="157" t="s">
        <v>3617</v>
      </c>
    </row>
    <row r="1570" spans="1:6" ht="15" customHeight="1">
      <c r="A1570" s="155">
        <v>42</v>
      </c>
      <c r="B1570" s="161" t="s">
        <v>3586</v>
      </c>
      <c r="C1570" s="162" t="s">
        <v>3618</v>
      </c>
      <c r="D1570" s="162" t="str">
        <f t="shared" si="25"/>
        <v>長崎県西海市</v>
      </c>
      <c r="E1570" s="161">
        <v>7</v>
      </c>
      <c r="F1570" s="157" t="s">
        <v>3619</v>
      </c>
    </row>
    <row r="1571" spans="1:6" ht="15" customHeight="1">
      <c r="A1571" s="155">
        <v>42</v>
      </c>
      <c r="B1571" s="161" t="s">
        <v>3586</v>
      </c>
      <c r="C1571" s="162" t="s">
        <v>3620</v>
      </c>
      <c r="D1571" s="162" t="str">
        <f t="shared" si="25"/>
        <v>長崎県波佐見町</v>
      </c>
      <c r="E1571" s="161">
        <v>6</v>
      </c>
      <c r="F1571" s="157" t="s">
        <v>3621</v>
      </c>
    </row>
    <row r="1572" spans="1:6" ht="15" customHeight="1">
      <c r="A1572" s="155">
        <v>42</v>
      </c>
      <c r="B1572" s="161" t="s">
        <v>3586</v>
      </c>
      <c r="C1572" s="162" t="s">
        <v>3622</v>
      </c>
      <c r="D1572" s="162" t="str">
        <f t="shared" si="25"/>
        <v>長崎県東彼杵町</v>
      </c>
      <c r="E1572" s="161">
        <v>6</v>
      </c>
      <c r="F1572" s="157" t="s">
        <v>3623</v>
      </c>
    </row>
    <row r="1573" spans="1:6" ht="15" customHeight="1">
      <c r="A1573" s="155">
        <v>42</v>
      </c>
      <c r="B1573" s="161" t="s">
        <v>3586</v>
      </c>
      <c r="C1573" s="162" t="s">
        <v>3624</v>
      </c>
      <c r="D1573" s="162" t="str">
        <f t="shared" si="25"/>
        <v>長崎県平戸市</v>
      </c>
      <c r="E1573" s="161">
        <v>7</v>
      </c>
      <c r="F1573" s="157" t="s">
        <v>3625</v>
      </c>
    </row>
    <row r="1574" spans="1:6" ht="15" customHeight="1">
      <c r="A1574" s="155">
        <v>42</v>
      </c>
      <c r="B1574" s="161" t="s">
        <v>3586</v>
      </c>
      <c r="C1574" s="162" t="s">
        <v>3626</v>
      </c>
      <c r="D1574" s="162" t="str">
        <f t="shared" si="25"/>
        <v>長崎県松浦市</v>
      </c>
      <c r="E1574" s="161">
        <v>6</v>
      </c>
      <c r="F1574" s="157" t="s">
        <v>3627</v>
      </c>
    </row>
    <row r="1575" spans="1:6" ht="15" customHeight="1">
      <c r="A1575" s="155">
        <v>42</v>
      </c>
      <c r="B1575" s="161" t="s">
        <v>3586</v>
      </c>
      <c r="C1575" s="162" t="s">
        <v>3628</v>
      </c>
      <c r="D1575" s="162" t="str">
        <f t="shared" si="25"/>
        <v>長崎県南島原市</v>
      </c>
      <c r="E1575" s="161">
        <v>7</v>
      </c>
      <c r="F1575" s="157" t="s">
        <v>3629</v>
      </c>
    </row>
    <row r="1576" spans="1:6" ht="15" customHeight="1">
      <c r="A1576" s="155">
        <v>43</v>
      </c>
      <c r="B1576" s="161" t="s">
        <v>3630</v>
      </c>
      <c r="C1576" s="162" t="s">
        <v>3631</v>
      </c>
      <c r="D1576" s="162" t="str">
        <f t="shared" si="25"/>
        <v>熊本県あさぎり町</v>
      </c>
      <c r="E1576" s="161">
        <v>6</v>
      </c>
      <c r="F1576" s="157" t="s">
        <v>3632</v>
      </c>
    </row>
    <row r="1577" spans="1:6" ht="15" customHeight="1">
      <c r="A1577" s="155">
        <v>43</v>
      </c>
      <c r="B1577" s="161" t="s">
        <v>3630</v>
      </c>
      <c r="C1577" s="162" t="s">
        <v>3633</v>
      </c>
      <c r="D1577" s="162" t="str">
        <f t="shared" si="25"/>
        <v>熊本県芦北町</v>
      </c>
      <c r="E1577" s="161">
        <v>7</v>
      </c>
      <c r="F1577" s="157" t="s">
        <v>3634</v>
      </c>
    </row>
    <row r="1578" spans="1:6" ht="15" customHeight="1">
      <c r="A1578" s="155">
        <v>43</v>
      </c>
      <c r="B1578" s="161" t="s">
        <v>3630</v>
      </c>
      <c r="C1578" s="162" t="s">
        <v>3635</v>
      </c>
      <c r="D1578" s="162" t="str">
        <f t="shared" si="25"/>
        <v>熊本県阿蘇市</v>
      </c>
      <c r="E1578" s="161">
        <v>5</v>
      </c>
      <c r="F1578" s="157" t="s">
        <v>3636</v>
      </c>
    </row>
    <row r="1579" spans="1:6" ht="15" customHeight="1">
      <c r="A1579" s="155">
        <v>43</v>
      </c>
      <c r="B1579" s="161" t="s">
        <v>3630</v>
      </c>
      <c r="C1579" s="162" t="s">
        <v>3637</v>
      </c>
      <c r="D1579" s="162" t="str">
        <f t="shared" si="25"/>
        <v>熊本県天草市</v>
      </c>
      <c r="E1579" s="161">
        <v>7</v>
      </c>
      <c r="F1579" s="157" t="s">
        <v>3638</v>
      </c>
    </row>
    <row r="1580" spans="1:6" ht="15" customHeight="1">
      <c r="A1580" s="155">
        <v>43</v>
      </c>
      <c r="B1580" s="161" t="s">
        <v>3630</v>
      </c>
      <c r="C1580" s="162" t="s">
        <v>3639</v>
      </c>
      <c r="D1580" s="162" t="str">
        <f t="shared" si="25"/>
        <v>熊本県荒尾市</v>
      </c>
      <c r="E1580" s="161">
        <v>6</v>
      </c>
      <c r="F1580" s="157" t="s">
        <v>3640</v>
      </c>
    </row>
    <row r="1581" spans="1:6" ht="15" customHeight="1">
      <c r="A1581" s="155">
        <v>43</v>
      </c>
      <c r="B1581" s="161" t="s">
        <v>3630</v>
      </c>
      <c r="C1581" s="162" t="s">
        <v>3641</v>
      </c>
      <c r="D1581" s="162" t="str">
        <f t="shared" si="25"/>
        <v>熊本県五木村</v>
      </c>
      <c r="E1581" s="161">
        <v>5</v>
      </c>
      <c r="F1581" s="157" t="s">
        <v>3642</v>
      </c>
    </row>
    <row r="1582" spans="1:6" ht="15" customHeight="1">
      <c r="A1582" s="155">
        <v>43</v>
      </c>
      <c r="B1582" s="161" t="s">
        <v>3630</v>
      </c>
      <c r="C1582" s="162" t="s">
        <v>3643</v>
      </c>
      <c r="D1582" s="162" t="str">
        <f t="shared" si="25"/>
        <v>熊本県宇城市</v>
      </c>
      <c r="E1582" s="161">
        <v>7</v>
      </c>
      <c r="F1582" s="157" t="s">
        <v>3644</v>
      </c>
    </row>
    <row r="1583" spans="1:6" ht="15" customHeight="1">
      <c r="A1583" s="155">
        <v>43</v>
      </c>
      <c r="B1583" s="161" t="s">
        <v>3630</v>
      </c>
      <c r="C1583" s="162" t="s">
        <v>3645</v>
      </c>
      <c r="D1583" s="162" t="str">
        <f t="shared" si="25"/>
        <v>熊本県宇土市</v>
      </c>
      <c r="E1583" s="161">
        <v>7</v>
      </c>
      <c r="F1583" s="157" t="s">
        <v>3646</v>
      </c>
    </row>
    <row r="1584" spans="1:6" ht="15" customHeight="1">
      <c r="A1584" s="155">
        <v>43</v>
      </c>
      <c r="B1584" s="161" t="s">
        <v>3630</v>
      </c>
      <c r="C1584" s="162" t="s">
        <v>3647</v>
      </c>
      <c r="D1584" s="162" t="str">
        <f t="shared" si="25"/>
        <v>熊本県産山村</v>
      </c>
      <c r="E1584" s="161">
        <v>5</v>
      </c>
      <c r="F1584" s="157" t="s">
        <v>3648</v>
      </c>
    </row>
    <row r="1585" spans="1:6" ht="15" customHeight="1">
      <c r="A1585" s="155">
        <v>43</v>
      </c>
      <c r="B1585" s="161" t="s">
        <v>3630</v>
      </c>
      <c r="C1585" s="162" t="s">
        <v>3649</v>
      </c>
      <c r="D1585" s="162" t="str">
        <f t="shared" si="25"/>
        <v>熊本県大津町</v>
      </c>
      <c r="E1585" s="161">
        <v>6</v>
      </c>
      <c r="F1585" s="157" t="s">
        <v>3650</v>
      </c>
    </row>
    <row r="1586" spans="1:6" ht="15" customHeight="1">
      <c r="A1586" s="155">
        <v>43</v>
      </c>
      <c r="B1586" s="161" t="s">
        <v>3630</v>
      </c>
      <c r="C1586" s="162" t="s">
        <v>1226</v>
      </c>
      <c r="D1586" s="162" t="str">
        <f t="shared" si="25"/>
        <v>熊本県小国町</v>
      </c>
      <c r="E1586" s="161">
        <v>5</v>
      </c>
      <c r="F1586" s="157" t="s">
        <v>1227</v>
      </c>
    </row>
    <row r="1587" spans="1:6" ht="15" customHeight="1">
      <c r="A1587" s="155">
        <v>43</v>
      </c>
      <c r="B1587" s="161" t="s">
        <v>3630</v>
      </c>
      <c r="C1587" s="162" t="s">
        <v>3651</v>
      </c>
      <c r="D1587" s="162" t="str">
        <f t="shared" si="25"/>
        <v>熊本県嘉島町</v>
      </c>
      <c r="E1587" s="161">
        <v>7</v>
      </c>
      <c r="F1587" s="157" t="s">
        <v>3652</v>
      </c>
    </row>
    <row r="1588" spans="1:6" ht="15" customHeight="1">
      <c r="A1588" s="155">
        <v>43</v>
      </c>
      <c r="B1588" s="161" t="s">
        <v>3630</v>
      </c>
      <c r="C1588" s="162" t="s">
        <v>3653</v>
      </c>
      <c r="D1588" s="162" t="str">
        <f t="shared" si="25"/>
        <v>熊本県和水町</v>
      </c>
      <c r="E1588" s="161">
        <v>6</v>
      </c>
      <c r="F1588" s="157" t="s">
        <v>3654</v>
      </c>
    </row>
    <row r="1589" spans="1:6" ht="15" customHeight="1">
      <c r="A1589" s="155">
        <v>43</v>
      </c>
      <c r="B1589" s="161" t="s">
        <v>3630</v>
      </c>
      <c r="C1589" s="162" t="s">
        <v>3655</v>
      </c>
      <c r="D1589" s="162" t="str">
        <f t="shared" si="25"/>
        <v>熊本県上天草市</v>
      </c>
      <c r="E1589" s="161">
        <v>7</v>
      </c>
      <c r="F1589" s="157" t="s">
        <v>3656</v>
      </c>
    </row>
    <row r="1590" spans="1:6" ht="15" customHeight="1">
      <c r="A1590" s="155">
        <v>43</v>
      </c>
      <c r="B1590" s="161" t="s">
        <v>3630</v>
      </c>
      <c r="C1590" s="162" t="s">
        <v>3657</v>
      </c>
      <c r="D1590" s="162" t="str">
        <f t="shared" si="25"/>
        <v>熊本県菊池市</v>
      </c>
      <c r="E1590" s="161">
        <v>6</v>
      </c>
      <c r="F1590" s="157" t="s">
        <v>3658</v>
      </c>
    </row>
    <row r="1591" spans="1:6" ht="15" customHeight="1">
      <c r="A1591" s="155">
        <v>43</v>
      </c>
      <c r="B1591" s="161" t="s">
        <v>3630</v>
      </c>
      <c r="C1591" s="162" t="s">
        <v>3659</v>
      </c>
      <c r="D1591" s="162" t="str">
        <f t="shared" si="25"/>
        <v>熊本県菊陽町</v>
      </c>
      <c r="E1591" s="161">
        <v>6</v>
      </c>
      <c r="F1591" s="157" t="s">
        <v>3660</v>
      </c>
    </row>
    <row r="1592" spans="1:6" ht="15" customHeight="1">
      <c r="A1592" s="155">
        <v>43</v>
      </c>
      <c r="B1592" s="161" t="s">
        <v>3630</v>
      </c>
      <c r="C1592" s="162" t="s">
        <v>3661</v>
      </c>
      <c r="D1592" s="162" t="str">
        <f t="shared" si="25"/>
        <v>熊本県玉東町</v>
      </c>
      <c r="E1592" s="161">
        <v>6</v>
      </c>
      <c r="F1592" s="157" t="s">
        <v>3662</v>
      </c>
    </row>
    <row r="1593" spans="1:6" ht="15" customHeight="1">
      <c r="A1593" s="155">
        <v>43</v>
      </c>
      <c r="B1593" s="161" t="s">
        <v>3630</v>
      </c>
      <c r="C1593" s="162" t="s">
        <v>3663</v>
      </c>
      <c r="D1593" s="162" t="str">
        <f t="shared" si="25"/>
        <v>熊本県球磨村</v>
      </c>
      <c r="E1593" s="161">
        <v>6</v>
      </c>
      <c r="F1593" s="157" t="s">
        <v>3664</v>
      </c>
    </row>
    <row r="1594" spans="1:6" ht="15" customHeight="1">
      <c r="A1594" s="155">
        <v>43</v>
      </c>
      <c r="B1594" s="161" t="s">
        <v>3630</v>
      </c>
      <c r="C1594" s="162" t="s">
        <v>3665</v>
      </c>
      <c r="D1594" s="162" t="str">
        <f t="shared" si="25"/>
        <v>熊本県熊本市</v>
      </c>
      <c r="E1594" s="161">
        <v>7</v>
      </c>
      <c r="F1594" s="157" t="s">
        <v>3666</v>
      </c>
    </row>
    <row r="1595" spans="1:6" ht="15" customHeight="1">
      <c r="A1595" s="155">
        <v>43</v>
      </c>
      <c r="B1595" s="161" t="s">
        <v>3630</v>
      </c>
      <c r="C1595" s="162" t="s">
        <v>3667</v>
      </c>
      <c r="D1595" s="162" t="str">
        <f t="shared" si="25"/>
        <v>熊本県甲佐町</v>
      </c>
      <c r="E1595" s="161">
        <v>6</v>
      </c>
      <c r="F1595" s="157" t="s">
        <v>3668</v>
      </c>
    </row>
    <row r="1596" spans="1:6" ht="15" customHeight="1">
      <c r="A1596" s="155">
        <v>43</v>
      </c>
      <c r="B1596" s="161" t="s">
        <v>3630</v>
      </c>
      <c r="C1596" s="162" t="s">
        <v>3669</v>
      </c>
      <c r="D1596" s="162" t="str">
        <f t="shared" si="25"/>
        <v>熊本県合志市</v>
      </c>
      <c r="E1596" s="161">
        <v>6</v>
      </c>
      <c r="F1596" s="157" t="s">
        <v>3670</v>
      </c>
    </row>
    <row r="1597" spans="1:6" ht="15" customHeight="1">
      <c r="A1597" s="155">
        <v>43</v>
      </c>
      <c r="B1597" s="161" t="s">
        <v>3630</v>
      </c>
      <c r="C1597" s="162" t="s">
        <v>3671</v>
      </c>
      <c r="D1597" s="162" t="str">
        <f t="shared" si="25"/>
        <v>熊本県相良村</v>
      </c>
      <c r="E1597" s="161">
        <v>6</v>
      </c>
      <c r="F1597" s="157" t="s">
        <v>3672</v>
      </c>
    </row>
    <row r="1598" spans="1:6" ht="15" customHeight="1">
      <c r="A1598" s="155">
        <v>43</v>
      </c>
      <c r="B1598" s="161" t="s">
        <v>3630</v>
      </c>
      <c r="C1598" s="162" t="s">
        <v>3673</v>
      </c>
      <c r="D1598" s="162" t="str">
        <f t="shared" si="25"/>
        <v>熊本県高森町</v>
      </c>
      <c r="E1598" s="161">
        <v>5</v>
      </c>
      <c r="F1598" s="157" t="s">
        <v>2282</v>
      </c>
    </row>
    <row r="1599" spans="1:6" ht="15" customHeight="1">
      <c r="A1599" s="155">
        <v>43</v>
      </c>
      <c r="B1599" s="161" t="s">
        <v>3630</v>
      </c>
      <c r="C1599" s="162" t="s">
        <v>3674</v>
      </c>
      <c r="D1599" s="162" t="str">
        <f t="shared" si="25"/>
        <v>熊本県玉名市</v>
      </c>
      <c r="E1599" s="161">
        <v>6</v>
      </c>
      <c r="F1599" s="157" t="s">
        <v>3675</v>
      </c>
    </row>
    <row r="1600" spans="1:6" ht="15" customHeight="1">
      <c r="A1600" s="155">
        <v>43</v>
      </c>
      <c r="B1600" s="161" t="s">
        <v>3630</v>
      </c>
      <c r="C1600" s="162" t="s">
        <v>3676</v>
      </c>
      <c r="D1600" s="162" t="str">
        <f t="shared" si="25"/>
        <v>熊本県多良木町</v>
      </c>
      <c r="E1600" s="161">
        <v>6</v>
      </c>
      <c r="F1600" s="157" t="s">
        <v>3677</v>
      </c>
    </row>
    <row r="1601" spans="1:6" ht="15" customHeight="1">
      <c r="A1601" s="155">
        <v>43</v>
      </c>
      <c r="B1601" s="161" t="s">
        <v>3630</v>
      </c>
      <c r="C1601" s="162" t="s">
        <v>3678</v>
      </c>
      <c r="D1601" s="162" t="str">
        <f t="shared" si="25"/>
        <v>熊本県津奈木町</v>
      </c>
      <c r="E1601" s="161">
        <v>7</v>
      </c>
      <c r="F1601" s="157" t="s">
        <v>3679</v>
      </c>
    </row>
    <row r="1602" spans="1:6" ht="15" customHeight="1">
      <c r="A1602" s="155">
        <v>43</v>
      </c>
      <c r="B1602" s="161" t="s">
        <v>3630</v>
      </c>
      <c r="C1602" s="162" t="s">
        <v>3680</v>
      </c>
      <c r="D1602" s="162" t="str">
        <f t="shared" si="25"/>
        <v>熊本県長洲町</v>
      </c>
      <c r="E1602" s="161">
        <v>7</v>
      </c>
      <c r="F1602" s="157" t="s">
        <v>3681</v>
      </c>
    </row>
    <row r="1603" spans="1:6" ht="15" customHeight="1">
      <c r="A1603" s="155">
        <v>43</v>
      </c>
      <c r="B1603" s="161" t="s">
        <v>3630</v>
      </c>
      <c r="C1603" s="162" t="s">
        <v>3682</v>
      </c>
      <c r="D1603" s="162" t="str">
        <f t="shared" si="25"/>
        <v>熊本県南関町</v>
      </c>
      <c r="E1603" s="161">
        <v>6</v>
      </c>
      <c r="F1603" s="157" t="s">
        <v>3683</v>
      </c>
    </row>
    <row r="1604" spans="1:6" ht="15" customHeight="1">
      <c r="A1604" s="155">
        <v>43</v>
      </c>
      <c r="B1604" s="161" t="s">
        <v>3630</v>
      </c>
      <c r="C1604" s="162" t="s">
        <v>3684</v>
      </c>
      <c r="D1604" s="162" t="str">
        <f t="shared" ref="D1604:D1667" si="26">B1604&amp;C1604</f>
        <v>熊本県錦町</v>
      </c>
      <c r="E1604" s="161">
        <v>6</v>
      </c>
      <c r="F1604" s="157" t="s">
        <v>3685</v>
      </c>
    </row>
    <row r="1605" spans="1:6" ht="15" customHeight="1">
      <c r="A1605" s="155">
        <v>43</v>
      </c>
      <c r="B1605" s="161" t="s">
        <v>3630</v>
      </c>
      <c r="C1605" s="162" t="s">
        <v>3686</v>
      </c>
      <c r="D1605" s="162" t="str">
        <f t="shared" si="26"/>
        <v>熊本県西原村</v>
      </c>
      <c r="E1605" s="161">
        <v>6</v>
      </c>
      <c r="F1605" s="157" t="s">
        <v>3687</v>
      </c>
    </row>
    <row r="1606" spans="1:6" ht="15" customHeight="1">
      <c r="A1606" s="155">
        <v>43</v>
      </c>
      <c r="B1606" s="161" t="s">
        <v>3630</v>
      </c>
      <c r="C1606" s="162" t="s">
        <v>3688</v>
      </c>
      <c r="D1606" s="162" t="str">
        <f t="shared" si="26"/>
        <v>熊本県氷川町</v>
      </c>
      <c r="E1606" s="161">
        <v>7</v>
      </c>
      <c r="F1606" s="157" t="s">
        <v>3689</v>
      </c>
    </row>
    <row r="1607" spans="1:6" ht="15" customHeight="1">
      <c r="A1607" s="155">
        <v>43</v>
      </c>
      <c r="B1607" s="161" t="s">
        <v>3630</v>
      </c>
      <c r="C1607" s="162" t="s">
        <v>3690</v>
      </c>
      <c r="D1607" s="162" t="str">
        <f t="shared" si="26"/>
        <v>熊本県人吉市</v>
      </c>
      <c r="E1607" s="161">
        <v>6</v>
      </c>
      <c r="F1607" s="157" t="s">
        <v>3691</v>
      </c>
    </row>
    <row r="1608" spans="1:6" ht="15" customHeight="1">
      <c r="A1608" s="155">
        <v>43</v>
      </c>
      <c r="B1608" s="161" t="s">
        <v>3630</v>
      </c>
      <c r="C1608" s="162" t="s">
        <v>3692</v>
      </c>
      <c r="D1608" s="162" t="str">
        <f t="shared" si="26"/>
        <v>熊本県益城町</v>
      </c>
      <c r="E1608" s="161">
        <v>6</v>
      </c>
      <c r="F1608" s="157" t="s">
        <v>3693</v>
      </c>
    </row>
    <row r="1609" spans="1:6" ht="15" customHeight="1">
      <c r="A1609" s="155">
        <v>43</v>
      </c>
      <c r="B1609" s="161" t="s">
        <v>3630</v>
      </c>
      <c r="C1609" s="162" t="s">
        <v>1147</v>
      </c>
      <c r="D1609" s="162" t="str">
        <f t="shared" si="26"/>
        <v>熊本県美里町</v>
      </c>
      <c r="E1609" s="161">
        <v>6</v>
      </c>
      <c r="F1609" s="157" t="s">
        <v>1148</v>
      </c>
    </row>
    <row r="1610" spans="1:6" ht="15" customHeight="1">
      <c r="A1610" s="155">
        <v>43</v>
      </c>
      <c r="B1610" s="161" t="s">
        <v>3630</v>
      </c>
      <c r="C1610" s="162" t="s">
        <v>3694</v>
      </c>
      <c r="D1610" s="162" t="str">
        <f t="shared" si="26"/>
        <v>熊本県水上村</v>
      </c>
      <c r="E1610" s="161">
        <v>5</v>
      </c>
      <c r="F1610" s="157" t="s">
        <v>3695</v>
      </c>
    </row>
    <row r="1611" spans="1:6" ht="15" customHeight="1">
      <c r="A1611" s="155">
        <v>43</v>
      </c>
      <c r="B1611" s="161" t="s">
        <v>3630</v>
      </c>
      <c r="C1611" s="162" t="s">
        <v>3696</v>
      </c>
      <c r="D1611" s="162" t="str">
        <f t="shared" si="26"/>
        <v>熊本県水俣市</v>
      </c>
      <c r="E1611" s="161">
        <v>7</v>
      </c>
      <c r="F1611" s="157" t="s">
        <v>3697</v>
      </c>
    </row>
    <row r="1612" spans="1:6" ht="15" customHeight="1">
      <c r="A1612" s="155">
        <v>43</v>
      </c>
      <c r="B1612" s="161" t="s">
        <v>3630</v>
      </c>
      <c r="C1612" s="162" t="s">
        <v>3698</v>
      </c>
      <c r="D1612" s="162" t="str">
        <f t="shared" si="26"/>
        <v>熊本県南阿蘇村</v>
      </c>
      <c r="E1612" s="161">
        <v>5</v>
      </c>
      <c r="F1612" s="157" t="s">
        <v>3699</v>
      </c>
    </row>
    <row r="1613" spans="1:6" ht="15" customHeight="1">
      <c r="A1613" s="155">
        <v>43</v>
      </c>
      <c r="B1613" s="161" t="s">
        <v>3630</v>
      </c>
      <c r="C1613" s="162" t="s">
        <v>3700</v>
      </c>
      <c r="D1613" s="162" t="str">
        <f t="shared" si="26"/>
        <v>熊本県南小国町</v>
      </c>
      <c r="E1613" s="161">
        <v>5</v>
      </c>
      <c r="F1613" s="157" t="s">
        <v>3701</v>
      </c>
    </row>
    <row r="1614" spans="1:6" ht="15" customHeight="1">
      <c r="A1614" s="155">
        <v>43</v>
      </c>
      <c r="B1614" s="161" t="s">
        <v>3630</v>
      </c>
      <c r="C1614" s="162" t="s">
        <v>3702</v>
      </c>
      <c r="D1614" s="162" t="str">
        <f t="shared" si="26"/>
        <v>熊本県御船町</v>
      </c>
      <c r="E1614" s="161">
        <v>6</v>
      </c>
      <c r="F1614" s="157" t="s">
        <v>3703</v>
      </c>
    </row>
    <row r="1615" spans="1:6" ht="15" customHeight="1">
      <c r="A1615" s="155">
        <v>43</v>
      </c>
      <c r="B1615" s="161" t="s">
        <v>3630</v>
      </c>
      <c r="C1615" s="162" t="s">
        <v>3704</v>
      </c>
      <c r="D1615" s="162" t="str">
        <f t="shared" si="26"/>
        <v>熊本県八代市（旧泉村に限る。）</v>
      </c>
      <c r="E1615" s="161">
        <v>5</v>
      </c>
      <c r="F1615" s="157" t="s">
        <v>3705</v>
      </c>
    </row>
    <row r="1616" spans="1:6" ht="15" customHeight="1">
      <c r="A1616" s="155">
        <v>43</v>
      </c>
      <c r="B1616" s="161" t="s">
        <v>3630</v>
      </c>
      <c r="C1616" s="162" t="s">
        <v>3706</v>
      </c>
      <c r="D1616" s="162" t="str">
        <f t="shared" si="26"/>
        <v>熊本県八代市(旧坂本村、旧東陽村に限る。)</v>
      </c>
      <c r="E1616" s="161">
        <v>6</v>
      </c>
      <c r="F1616" s="157" t="s">
        <v>3707</v>
      </c>
    </row>
    <row r="1617" spans="1:6" ht="15" customHeight="1">
      <c r="A1617" s="155">
        <v>43</v>
      </c>
      <c r="B1617" s="161" t="s">
        <v>3630</v>
      </c>
      <c r="C1617" s="162" t="s">
        <v>3708</v>
      </c>
      <c r="D1617" s="162" t="str">
        <f t="shared" si="26"/>
        <v>熊本県八代市(旧八代市、旧千丁町、旧鏡町に限る。)</v>
      </c>
      <c r="E1617" s="161">
        <v>7</v>
      </c>
      <c r="F1617" s="157" t="s">
        <v>3709</v>
      </c>
    </row>
    <row r="1618" spans="1:6" ht="15" customHeight="1">
      <c r="A1618" s="155">
        <v>43</v>
      </c>
      <c r="B1618" s="161" t="s">
        <v>3630</v>
      </c>
      <c r="C1618" s="162" t="s">
        <v>3710</v>
      </c>
      <c r="D1618" s="162" t="str">
        <f t="shared" si="26"/>
        <v>熊本県山江村</v>
      </c>
      <c r="E1618" s="161">
        <v>6</v>
      </c>
      <c r="F1618" s="157" t="s">
        <v>3711</v>
      </c>
    </row>
    <row r="1619" spans="1:6" ht="15" customHeight="1">
      <c r="A1619" s="155">
        <v>43</v>
      </c>
      <c r="B1619" s="161" t="s">
        <v>3630</v>
      </c>
      <c r="C1619" s="162" t="s">
        <v>3712</v>
      </c>
      <c r="D1619" s="162" t="str">
        <f t="shared" si="26"/>
        <v>熊本県山鹿市</v>
      </c>
      <c r="E1619" s="161">
        <v>6</v>
      </c>
      <c r="F1619" s="157" t="s">
        <v>3713</v>
      </c>
    </row>
    <row r="1620" spans="1:6" ht="15" customHeight="1">
      <c r="A1620" s="155">
        <v>43</v>
      </c>
      <c r="B1620" s="161" t="s">
        <v>3630</v>
      </c>
      <c r="C1620" s="162" t="s">
        <v>3714</v>
      </c>
      <c r="D1620" s="162" t="str">
        <f t="shared" si="26"/>
        <v>熊本県山都町</v>
      </c>
      <c r="E1620" s="161">
        <v>5</v>
      </c>
      <c r="F1620" s="157" t="s">
        <v>3715</v>
      </c>
    </row>
    <row r="1621" spans="1:6" ht="15" customHeight="1">
      <c r="A1621" s="155">
        <v>43</v>
      </c>
      <c r="B1621" s="161" t="s">
        <v>3630</v>
      </c>
      <c r="C1621" s="162" t="s">
        <v>3716</v>
      </c>
      <c r="D1621" s="162" t="str">
        <f t="shared" si="26"/>
        <v>熊本県湯前町</v>
      </c>
      <c r="E1621" s="161">
        <v>6</v>
      </c>
      <c r="F1621" s="157" t="s">
        <v>3717</v>
      </c>
    </row>
    <row r="1622" spans="1:6" ht="15" customHeight="1">
      <c r="A1622" s="155">
        <v>43</v>
      </c>
      <c r="B1622" s="161" t="s">
        <v>3630</v>
      </c>
      <c r="C1622" s="162" t="s">
        <v>3718</v>
      </c>
      <c r="D1622" s="162" t="str">
        <f t="shared" si="26"/>
        <v>熊本県苓北町</v>
      </c>
      <c r="E1622" s="161">
        <v>7</v>
      </c>
      <c r="F1622" s="157" t="s">
        <v>3719</v>
      </c>
    </row>
    <row r="1623" spans="1:6" ht="15" customHeight="1">
      <c r="A1623" s="155">
        <v>44</v>
      </c>
      <c r="B1623" s="161" t="s">
        <v>3720</v>
      </c>
      <c r="C1623" s="162" t="s">
        <v>3721</v>
      </c>
      <c r="D1623" s="162" t="str">
        <f t="shared" si="26"/>
        <v>大分県宇佐市</v>
      </c>
      <c r="E1623" s="161">
        <v>6</v>
      </c>
      <c r="F1623" s="157" t="s">
        <v>3722</v>
      </c>
    </row>
    <row r="1624" spans="1:6" ht="15" customHeight="1">
      <c r="A1624" s="155">
        <v>44</v>
      </c>
      <c r="B1624" s="161" t="s">
        <v>3720</v>
      </c>
      <c r="C1624" s="162" t="s">
        <v>3723</v>
      </c>
      <c r="D1624" s="162" t="str">
        <f t="shared" si="26"/>
        <v>大分県臼杵市</v>
      </c>
      <c r="E1624" s="161">
        <v>6</v>
      </c>
      <c r="F1624" s="157" t="s">
        <v>3724</v>
      </c>
    </row>
    <row r="1625" spans="1:6" ht="15" customHeight="1">
      <c r="A1625" s="155">
        <v>44</v>
      </c>
      <c r="B1625" s="161" t="s">
        <v>3720</v>
      </c>
      <c r="C1625" s="162" t="s">
        <v>3725</v>
      </c>
      <c r="D1625" s="162" t="str">
        <f t="shared" si="26"/>
        <v>大分県大分市（旧野津原町に限る。）</v>
      </c>
      <c r="E1625" s="161">
        <v>6</v>
      </c>
      <c r="F1625" s="157" t="s">
        <v>3726</v>
      </c>
    </row>
    <row r="1626" spans="1:6" ht="15" customHeight="1">
      <c r="A1626" s="155">
        <v>44</v>
      </c>
      <c r="B1626" s="161" t="s">
        <v>3720</v>
      </c>
      <c r="C1626" s="162" t="s">
        <v>3727</v>
      </c>
      <c r="D1626" s="162" t="str">
        <f t="shared" si="26"/>
        <v>大分県大分市（旧野津原町を除く。）</v>
      </c>
      <c r="E1626" s="161">
        <v>7</v>
      </c>
      <c r="F1626" s="157" t="s">
        <v>3728</v>
      </c>
    </row>
    <row r="1627" spans="1:6" ht="15" customHeight="1">
      <c r="A1627" s="155">
        <v>44</v>
      </c>
      <c r="B1627" s="161" t="s">
        <v>3720</v>
      </c>
      <c r="C1627" s="162" t="s">
        <v>3729</v>
      </c>
      <c r="D1627" s="162" t="str">
        <f t="shared" si="26"/>
        <v>大分県杵築市</v>
      </c>
      <c r="E1627" s="161">
        <v>6</v>
      </c>
      <c r="F1627" s="157" t="s">
        <v>3730</v>
      </c>
    </row>
    <row r="1628" spans="1:6" ht="15" customHeight="1">
      <c r="A1628" s="155">
        <v>44</v>
      </c>
      <c r="B1628" s="161" t="s">
        <v>3720</v>
      </c>
      <c r="C1628" s="162" t="s">
        <v>3731</v>
      </c>
      <c r="D1628" s="162" t="str">
        <f t="shared" si="26"/>
        <v>大分県玖珠町</v>
      </c>
      <c r="E1628" s="161">
        <v>5</v>
      </c>
      <c r="F1628" s="157" t="s">
        <v>3732</v>
      </c>
    </row>
    <row r="1629" spans="1:6" ht="15" customHeight="1">
      <c r="A1629" s="155">
        <v>44</v>
      </c>
      <c r="B1629" s="161" t="s">
        <v>3720</v>
      </c>
      <c r="C1629" s="162" t="s">
        <v>3733</v>
      </c>
      <c r="D1629" s="162" t="str">
        <f t="shared" si="26"/>
        <v>大分県国東市</v>
      </c>
      <c r="E1629" s="161">
        <v>6</v>
      </c>
      <c r="F1629" s="157" t="s">
        <v>3734</v>
      </c>
    </row>
    <row r="1630" spans="1:6" ht="15" customHeight="1">
      <c r="A1630" s="155">
        <v>44</v>
      </c>
      <c r="B1630" s="161" t="s">
        <v>3720</v>
      </c>
      <c r="C1630" s="162" t="s">
        <v>3735</v>
      </c>
      <c r="D1630" s="162" t="str">
        <f t="shared" si="26"/>
        <v>大分県九重町</v>
      </c>
      <c r="E1630" s="161">
        <v>5</v>
      </c>
      <c r="F1630" s="157" t="s">
        <v>3736</v>
      </c>
    </row>
    <row r="1631" spans="1:6" ht="15" customHeight="1">
      <c r="A1631" s="155">
        <v>44</v>
      </c>
      <c r="B1631" s="161" t="s">
        <v>3720</v>
      </c>
      <c r="C1631" s="162" t="s">
        <v>3737</v>
      </c>
      <c r="D1631" s="162" t="str">
        <f t="shared" si="26"/>
        <v>大分県佐伯市(旧宇目町に限る。)</v>
      </c>
      <c r="E1631" s="161">
        <v>5</v>
      </c>
      <c r="F1631" s="157" t="s">
        <v>3738</v>
      </c>
    </row>
    <row r="1632" spans="1:6" ht="15" customHeight="1">
      <c r="A1632" s="155">
        <v>44</v>
      </c>
      <c r="B1632" s="161" t="s">
        <v>3720</v>
      </c>
      <c r="C1632" s="162" t="s">
        <v>3739</v>
      </c>
      <c r="D1632" s="162" t="str">
        <f t="shared" si="26"/>
        <v>大分県佐伯市（旧宇目町を除く。）</v>
      </c>
      <c r="E1632" s="161">
        <v>7</v>
      </c>
      <c r="F1632" s="157" t="s">
        <v>3740</v>
      </c>
    </row>
    <row r="1633" spans="1:6" ht="15" customHeight="1">
      <c r="A1633" s="155">
        <v>44</v>
      </c>
      <c r="B1633" s="161" t="s">
        <v>3720</v>
      </c>
      <c r="C1633" s="162" t="s">
        <v>3741</v>
      </c>
      <c r="D1633" s="162" t="str">
        <f t="shared" si="26"/>
        <v>大分県竹田市</v>
      </c>
      <c r="E1633" s="161">
        <v>6</v>
      </c>
      <c r="F1633" s="157" t="s">
        <v>3742</v>
      </c>
    </row>
    <row r="1634" spans="1:6" ht="15" customHeight="1">
      <c r="A1634" s="155">
        <v>44</v>
      </c>
      <c r="B1634" s="161" t="s">
        <v>3720</v>
      </c>
      <c r="C1634" s="162" t="s">
        <v>3743</v>
      </c>
      <c r="D1634" s="162" t="str">
        <f t="shared" si="26"/>
        <v>大分県津久見市</v>
      </c>
      <c r="E1634" s="161">
        <v>6</v>
      </c>
      <c r="F1634" s="157" t="s">
        <v>3744</v>
      </c>
    </row>
    <row r="1635" spans="1:6" ht="15" customHeight="1">
      <c r="A1635" s="155">
        <v>44</v>
      </c>
      <c r="B1635" s="161" t="s">
        <v>3720</v>
      </c>
      <c r="C1635" s="162" t="s">
        <v>3745</v>
      </c>
      <c r="D1635" s="162" t="str">
        <f t="shared" si="26"/>
        <v>大分県中津市</v>
      </c>
      <c r="E1635" s="161">
        <v>6</v>
      </c>
      <c r="F1635" s="157" t="s">
        <v>3746</v>
      </c>
    </row>
    <row r="1636" spans="1:6" ht="15" customHeight="1">
      <c r="A1636" s="155">
        <v>44</v>
      </c>
      <c r="B1636" s="161" t="s">
        <v>3720</v>
      </c>
      <c r="C1636" s="162" t="s">
        <v>3747</v>
      </c>
      <c r="D1636" s="162" t="str">
        <f t="shared" si="26"/>
        <v>大分県日出町</v>
      </c>
      <c r="E1636" s="161">
        <v>6</v>
      </c>
      <c r="F1636" s="157" t="s">
        <v>3748</v>
      </c>
    </row>
    <row r="1637" spans="1:6" ht="15" customHeight="1">
      <c r="A1637" s="155">
        <v>44</v>
      </c>
      <c r="B1637" s="161" t="s">
        <v>3720</v>
      </c>
      <c r="C1637" s="162" t="s">
        <v>3749</v>
      </c>
      <c r="D1637" s="162" t="str">
        <f t="shared" si="26"/>
        <v>大分県日田市</v>
      </c>
      <c r="E1637" s="161">
        <v>6</v>
      </c>
      <c r="F1637" s="157" t="s">
        <v>3750</v>
      </c>
    </row>
    <row r="1638" spans="1:6" ht="15" customHeight="1">
      <c r="A1638" s="155">
        <v>44</v>
      </c>
      <c r="B1638" s="161" t="s">
        <v>3720</v>
      </c>
      <c r="C1638" s="162" t="s">
        <v>3751</v>
      </c>
      <c r="D1638" s="162" t="str">
        <f t="shared" si="26"/>
        <v>大分県姫島村</v>
      </c>
      <c r="E1638" s="161">
        <v>6</v>
      </c>
      <c r="F1638" s="157" t="s">
        <v>3752</v>
      </c>
    </row>
    <row r="1639" spans="1:6" ht="15" customHeight="1">
      <c r="A1639" s="155">
        <v>44</v>
      </c>
      <c r="B1639" s="161" t="s">
        <v>3720</v>
      </c>
      <c r="C1639" s="162" t="s">
        <v>3753</v>
      </c>
      <c r="D1639" s="162" t="str">
        <f t="shared" si="26"/>
        <v>大分県豊後大野市</v>
      </c>
      <c r="E1639" s="161">
        <v>6</v>
      </c>
      <c r="F1639" s="157" t="s">
        <v>3754</v>
      </c>
    </row>
    <row r="1640" spans="1:6" ht="15" customHeight="1">
      <c r="A1640" s="155">
        <v>44</v>
      </c>
      <c r="B1640" s="161" t="s">
        <v>3720</v>
      </c>
      <c r="C1640" s="162" t="s">
        <v>3755</v>
      </c>
      <c r="D1640" s="162" t="str">
        <f t="shared" si="26"/>
        <v>大分県豊後高田市</v>
      </c>
      <c r="E1640" s="161">
        <v>6</v>
      </c>
      <c r="F1640" s="157" t="s">
        <v>3756</v>
      </c>
    </row>
    <row r="1641" spans="1:6" ht="15" customHeight="1">
      <c r="A1641" s="155">
        <v>44</v>
      </c>
      <c r="B1641" s="161" t="s">
        <v>3720</v>
      </c>
      <c r="C1641" s="162" t="s">
        <v>3757</v>
      </c>
      <c r="D1641" s="162" t="str">
        <f t="shared" si="26"/>
        <v>大分県別府市</v>
      </c>
      <c r="E1641" s="161">
        <v>6</v>
      </c>
      <c r="F1641" s="157" t="s">
        <v>3758</v>
      </c>
    </row>
    <row r="1642" spans="1:6" ht="15" customHeight="1">
      <c r="A1642" s="155">
        <v>44</v>
      </c>
      <c r="B1642" s="161" t="s">
        <v>3720</v>
      </c>
      <c r="C1642" s="162" t="s">
        <v>3759</v>
      </c>
      <c r="D1642" s="162" t="str">
        <f t="shared" si="26"/>
        <v>大分県由布市(旧挾間町、旧庄内町に限る。)</v>
      </c>
      <c r="E1642" s="161">
        <v>6</v>
      </c>
      <c r="F1642" s="157" t="s">
        <v>3760</v>
      </c>
    </row>
    <row r="1643" spans="1:6" ht="15" customHeight="1">
      <c r="A1643" s="155">
        <v>44</v>
      </c>
      <c r="B1643" s="161" t="s">
        <v>3720</v>
      </c>
      <c r="C1643" s="162" t="s">
        <v>3761</v>
      </c>
      <c r="D1643" s="162" t="str">
        <f t="shared" si="26"/>
        <v>大分県由布市（旧湯布院町に限る。)</v>
      </c>
      <c r="E1643" s="161">
        <v>5</v>
      </c>
      <c r="F1643" s="157" t="s">
        <v>3762</v>
      </c>
    </row>
    <row r="1644" spans="1:6" ht="15" customHeight="1">
      <c r="A1644" s="155">
        <v>45</v>
      </c>
      <c r="B1644" s="161" t="s">
        <v>3763</v>
      </c>
      <c r="C1644" s="162" t="s">
        <v>3764</v>
      </c>
      <c r="D1644" s="162" t="str">
        <f t="shared" si="26"/>
        <v>宮崎県綾町</v>
      </c>
      <c r="E1644" s="161">
        <v>7</v>
      </c>
      <c r="F1644" s="157" t="s">
        <v>3765</v>
      </c>
    </row>
    <row r="1645" spans="1:6" ht="15" customHeight="1">
      <c r="A1645" s="155">
        <v>45</v>
      </c>
      <c r="B1645" s="161" t="s">
        <v>3763</v>
      </c>
      <c r="C1645" s="162" t="s">
        <v>3766</v>
      </c>
      <c r="D1645" s="162" t="str">
        <f t="shared" si="26"/>
        <v>宮崎県えびの市</v>
      </c>
      <c r="E1645" s="161">
        <v>6</v>
      </c>
      <c r="F1645" s="157" t="s">
        <v>3767</v>
      </c>
    </row>
    <row r="1646" spans="1:6" ht="15" customHeight="1">
      <c r="A1646" s="155">
        <v>45</v>
      </c>
      <c r="B1646" s="161" t="s">
        <v>3763</v>
      </c>
      <c r="C1646" s="162" t="s">
        <v>3768</v>
      </c>
      <c r="D1646" s="162" t="str">
        <f t="shared" si="26"/>
        <v>宮崎県門川町</v>
      </c>
      <c r="E1646" s="161">
        <v>7</v>
      </c>
      <c r="F1646" s="157" t="s">
        <v>3769</v>
      </c>
    </row>
    <row r="1647" spans="1:6" ht="15" customHeight="1">
      <c r="A1647" s="155">
        <v>45</v>
      </c>
      <c r="B1647" s="161" t="s">
        <v>3763</v>
      </c>
      <c r="C1647" s="162" t="s">
        <v>3770</v>
      </c>
      <c r="D1647" s="162" t="str">
        <f t="shared" si="26"/>
        <v>宮崎県川南町</v>
      </c>
      <c r="E1647" s="161">
        <v>7</v>
      </c>
      <c r="F1647" s="157" t="s">
        <v>3771</v>
      </c>
    </row>
    <row r="1648" spans="1:6" ht="15" customHeight="1">
      <c r="A1648" s="155">
        <v>45</v>
      </c>
      <c r="B1648" s="161" t="s">
        <v>3763</v>
      </c>
      <c r="C1648" s="162" t="s">
        <v>3772</v>
      </c>
      <c r="D1648" s="162" t="str">
        <f t="shared" si="26"/>
        <v>宮崎県木城町</v>
      </c>
      <c r="E1648" s="161">
        <v>7</v>
      </c>
      <c r="F1648" s="157" t="s">
        <v>3773</v>
      </c>
    </row>
    <row r="1649" spans="1:6" ht="15" customHeight="1">
      <c r="A1649" s="155">
        <v>45</v>
      </c>
      <c r="B1649" s="161" t="s">
        <v>3763</v>
      </c>
      <c r="C1649" s="162" t="s">
        <v>3774</v>
      </c>
      <c r="D1649" s="162" t="str">
        <f t="shared" si="26"/>
        <v>宮崎県串間市</v>
      </c>
      <c r="E1649" s="161">
        <v>7</v>
      </c>
      <c r="F1649" s="157" t="s">
        <v>3775</v>
      </c>
    </row>
    <row r="1650" spans="1:6" ht="15" customHeight="1">
      <c r="A1650" s="155">
        <v>45</v>
      </c>
      <c r="B1650" s="161" t="s">
        <v>3763</v>
      </c>
      <c r="C1650" s="162" t="s">
        <v>3776</v>
      </c>
      <c r="D1650" s="162" t="str">
        <f t="shared" si="26"/>
        <v>宮崎県国富町</v>
      </c>
      <c r="E1650" s="161">
        <v>7</v>
      </c>
      <c r="F1650" s="157" t="s">
        <v>3777</v>
      </c>
    </row>
    <row r="1651" spans="1:6" ht="15" customHeight="1">
      <c r="A1651" s="155">
        <v>45</v>
      </c>
      <c r="B1651" s="161" t="s">
        <v>3763</v>
      </c>
      <c r="C1651" s="162" t="s">
        <v>3778</v>
      </c>
      <c r="D1651" s="162" t="str">
        <f t="shared" si="26"/>
        <v>宮崎県五ヶ瀬町</v>
      </c>
      <c r="E1651" s="161">
        <v>5</v>
      </c>
      <c r="F1651" s="157" t="s">
        <v>3779</v>
      </c>
    </row>
    <row r="1652" spans="1:6" ht="15" customHeight="1">
      <c r="A1652" s="155">
        <v>45</v>
      </c>
      <c r="B1652" s="161" t="s">
        <v>3763</v>
      </c>
      <c r="C1652" s="162" t="s">
        <v>3780</v>
      </c>
      <c r="D1652" s="162" t="str">
        <f t="shared" si="26"/>
        <v>宮崎県小林市</v>
      </c>
      <c r="E1652" s="161">
        <v>6</v>
      </c>
      <c r="F1652" s="157" t="s">
        <v>3781</v>
      </c>
    </row>
    <row r="1653" spans="1:6" ht="15" customHeight="1">
      <c r="A1653" s="155">
        <v>45</v>
      </c>
      <c r="B1653" s="161" t="s">
        <v>3763</v>
      </c>
      <c r="C1653" s="162" t="s">
        <v>3782</v>
      </c>
      <c r="D1653" s="162" t="str">
        <f t="shared" si="26"/>
        <v>宮崎県西都市</v>
      </c>
      <c r="E1653" s="161">
        <v>7</v>
      </c>
      <c r="F1653" s="157" t="s">
        <v>3783</v>
      </c>
    </row>
    <row r="1654" spans="1:6" ht="15" customHeight="1">
      <c r="A1654" s="155">
        <v>45</v>
      </c>
      <c r="B1654" s="161" t="s">
        <v>3763</v>
      </c>
      <c r="C1654" s="162" t="s">
        <v>3784</v>
      </c>
      <c r="D1654" s="162" t="str">
        <f t="shared" si="26"/>
        <v>宮崎県椎葉村</v>
      </c>
      <c r="E1654" s="161">
        <v>5</v>
      </c>
      <c r="F1654" s="157" t="s">
        <v>3785</v>
      </c>
    </row>
    <row r="1655" spans="1:6" ht="15" customHeight="1">
      <c r="A1655" s="155">
        <v>45</v>
      </c>
      <c r="B1655" s="161" t="s">
        <v>3763</v>
      </c>
      <c r="C1655" s="162" t="s">
        <v>3786</v>
      </c>
      <c r="D1655" s="162" t="str">
        <f t="shared" si="26"/>
        <v>宮崎県新富町</v>
      </c>
      <c r="E1655" s="161">
        <v>7</v>
      </c>
      <c r="F1655" s="157" t="s">
        <v>3787</v>
      </c>
    </row>
    <row r="1656" spans="1:6" ht="15" customHeight="1">
      <c r="A1656" s="155">
        <v>45</v>
      </c>
      <c r="B1656" s="161" t="s">
        <v>3763</v>
      </c>
      <c r="C1656" s="162" t="s">
        <v>3788</v>
      </c>
      <c r="D1656" s="162" t="str">
        <f t="shared" si="26"/>
        <v>宮崎県高千穂町</v>
      </c>
      <c r="E1656" s="161">
        <v>6</v>
      </c>
      <c r="F1656" s="157" t="s">
        <v>3789</v>
      </c>
    </row>
    <row r="1657" spans="1:6" ht="15" customHeight="1">
      <c r="A1657" s="155">
        <v>45</v>
      </c>
      <c r="B1657" s="161" t="s">
        <v>3763</v>
      </c>
      <c r="C1657" s="162" t="s">
        <v>3790</v>
      </c>
      <c r="D1657" s="162" t="str">
        <f t="shared" si="26"/>
        <v>宮崎県高鍋町</v>
      </c>
      <c r="E1657" s="161">
        <v>7</v>
      </c>
      <c r="F1657" s="157" t="s">
        <v>3791</v>
      </c>
    </row>
    <row r="1658" spans="1:6" ht="15" customHeight="1">
      <c r="A1658" s="155">
        <v>45</v>
      </c>
      <c r="B1658" s="161" t="s">
        <v>3763</v>
      </c>
      <c r="C1658" s="162" t="s">
        <v>3792</v>
      </c>
      <c r="D1658" s="162" t="str">
        <f t="shared" si="26"/>
        <v>宮崎県高原町</v>
      </c>
      <c r="E1658" s="161">
        <v>6</v>
      </c>
      <c r="F1658" s="157" t="s">
        <v>3793</v>
      </c>
    </row>
    <row r="1659" spans="1:6" ht="15" customHeight="1">
      <c r="A1659" s="155">
        <v>45</v>
      </c>
      <c r="B1659" s="161" t="s">
        <v>3763</v>
      </c>
      <c r="C1659" s="162" t="s">
        <v>3794</v>
      </c>
      <c r="D1659" s="162" t="str">
        <f t="shared" si="26"/>
        <v>宮崎県都農町</v>
      </c>
      <c r="E1659" s="161">
        <v>7</v>
      </c>
      <c r="F1659" s="157" t="s">
        <v>3795</v>
      </c>
    </row>
    <row r="1660" spans="1:6" ht="15" customHeight="1">
      <c r="A1660" s="155">
        <v>45</v>
      </c>
      <c r="B1660" s="161" t="s">
        <v>3763</v>
      </c>
      <c r="C1660" s="162" t="s">
        <v>3796</v>
      </c>
      <c r="D1660" s="162" t="str">
        <f t="shared" si="26"/>
        <v>宮崎県西米良村</v>
      </c>
      <c r="E1660" s="161">
        <v>6</v>
      </c>
      <c r="F1660" s="157" t="s">
        <v>3797</v>
      </c>
    </row>
    <row r="1661" spans="1:6" ht="15" customHeight="1">
      <c r="A1661" s="155">
        <v>45</v>
      </c>
      <c r="B1661" s="161" t="s">
        <v>3763</v>
      </c>
      <c r="C1661" s="162" t="s">
        <v>3798</v>
      </c>
      <c r="D1661" s="162" t="str">
        <f t="shared" si="26"/>
        <v>宮崎県日南市</v>
      </c>
      <c r="E1661" s="161">
        <v>7</v>
      </c>
      <c r="F1661" s="157" t="s">
        <v>3799</v>
      </c>
    </row>
    <row r="1662" spans="1:6" ht="15" customHeight="1">
      <c r="A1662" s="155">
        <v>45</v>
      </c>
      <c r="B1662" s="161" t="s">
        <v>3763</v>
      </c>
      <c r="C1662" s="162" t="s">
        <v>3800</v>
      </c>
      <c r="D1662" s="162" t="str">
        <f t="shared" si="26"/>
        <v>宮崎県延岡市</v>
      </c>
      <c r="E1662" s="161">
        <v>7</v>
      </c>
      <c r="F1662" s="157" t="s">
        <v>3801</v>
      </c>
    </row>
    <row r="1663" spans="1:6" ht="15" customHeight="1">
      <c r="A1663" s="155">
        <v>45</v>
      </c>
      <c r="B1663" s="161" t="s">
        <v>3763</v>
      </c>
      <c r="C1663" s="162" t="s">
        <v>3802</v>
      </c>
      <c r="D1663" s="162" t="str">
        <f t="shared" si="26"/>
        <v>宮崎県日之影町</v>
      </c>
      <c r="E1663" s="161">
        <v>6</v>
      </c>
      <c r="F1663" s="157" t="s">
        <v>3803</v>
      </c>
    </row>
    <row r="1664" spans="1:6" ht="15" customHeight="1">
      <c r="A1664" s="155">
        <v>45</v>
      </c>
      <c r="B1664" s="161" t="s">
        <v>3763</v>
      </c>
      <c r="C1664" s="162" t="s">
        <v>3804</v>
      </c>
      <c r="D1664" s="162" t="str">
        <f t="shared" si="26"/>
        <v>宮崎県日向市</v>
      </c>
      <c r="E1664" s="161">
        <v>7</v>
      </c>
      <c r="F1664" s="157" t="s">
        <v>3805</v>
      </c>
    </row>
    <row r="1665" spans="1:6" ht="15" customHeight="1">
      <c r="A1665" s="155">
        <v>45</v>
      </c>
      <c r="B1665" s="161" t="s">
        <v>3763</v>
      </c>
      <c r="C1665" s="162" t="s">
        <v>1206</v>
      </c>
      <c r="D1665" s="162" t="str">
        <f t="shared" si="26"/>
        <v>宮崎県美郷町</v>
      </c>
      <c r="E1665" s="161">
        <v>6</v>
      </c>
      <c r="F1665" s="157" t="s">
        <v>1148</v>
      </c>
    </row>
    <row r="1666" spans="1:6" ht="15" customHeight="1">
      <c r="A1666" s="155">
        <v>45</v>
      </c>
      <c r="B1666" s="161" t="s">
        <v>3763</v>
      </c>
      <c r="C1666" s="162" t="s">
        <v>3806</v>
      </c>
      <c r="D1666" s="162" t="str">
        <f t="shared" si="26"/>
        <v>宮崎県三股町</v>
      </c>
      <c r="E1666" s="161">
        <v>7</v>
      </c>
      <c r="F1666" s="157" t="s">
        <v>3807</v>
      </c>
    </row>
    <row r="1667" spans="1:6" ht="15" customHeight="1">
      <c r="A1667" s="155">
        <v>45</v>
      </c>
      <c r="B1667" s="161" t="s">
        <v>3763</v>
      </c>
      <c r="C1667" s="162" t="s">
        <v>3808</v>
      </c>
      <c r="D1667" s="162" t="str">
        <f t="shared" si="26"/>
        <v>宮崎県都城市</v>
      </c>
      <c r="E1667" s="161">
        <v>7</v>
      </c>
      <c r="F1667" s="157" t="s">
        <v>3809</v>
      </c>
    </row>
    <row r="1668" spans="1:6" ht="15" customHeight="1">
      <c r="A1668" s="155">
        <v>45</v>
      </c>
      <c r="B1668" s="161" t="s">
        <v>3763</v>
      </c>
      <c r="C1668" s="162" t="s">
        <v>3810</v>
      </c>
      <c r="D1668" s="162" t="str">
        <f t="shared" ref="D1668:D1713" si="27">B1668&amp;C1668</f>
        <v>宮崎県宮崎市</v>
      </c>
      <c r="E1668" s="161">
        <v>7</v>
      </c>
      <c r="F1668" s="157" t="s">
        <v>3811</v>
      </c>
    </row>
    <row r="1669" spans="1:6" ht="15" customHeight="1">
      <c r="A1669" s="155">
        <v>45</v>
      </c>
      <c r="B1669" s="161" t="s">
        <v>3763</v>
      </c>
      <c r="C1669" s="162" t="s">
        <v>3812</v>
      </c>
      <c r="D1669" s="162" t="str">
        <f t="shared" si="27"/>
        <v>宮崎県諸塚村</v>
      </c>
      <c r="E1669" s="161">
        <v>6</v>
      </c>
      <c r="F1669" s="157" t="s">
        <v>3813</v>
      </c>
    </row>
    <row r="1670" spans="1:6" ht="15" customHeight="1">
      <c r="A1670" s="155">
        <v>46</v>
      </c>
      <c r="B1670" s="161" t="s">
        <v>3814</v>
      </c>
      <c r="C1670" s="162" t="s">
        <v>3815</v>
      </c>
      <c r="D1670" s="162" t="str">
        <f t="shared" si="27"/>
        <v>鹿児島県姶良市</v>
      </c>
      <c r="E1670" s="161">
        <v>7</v>
      </c>
      <c r="F1670" s="157" t="s">
        <v>3816</v>
      </c>
    </row>
    <row r="1671" spans="1:6" ht="15" customHeight="1">
      <c r="A1671" s="155">
        <v>46</v>
      </c>
      <c r="B1671" s="161" t="s">
        <v>3814</v>
      </c>
      <c r="C1671" s="162" t="s">
        <v>3817</v>
      </c>
      <c r="D1671" s="162" t="str">
        <f t="shared" si="27"/>
        <v>鹿児島県阿久根市</v>
      </c>
      <c r="E1671" s="161">
        <v>7</v>
      </c>
      <c r="F1671" s="157" t="s">
        <v>3818</v>
      </c>
    </row>
    <row r="1672" spans="1:6" ht="15" customHeight="1">
      <c r="A1672" s="155">
        <v>46</v>
      </c>
      <c r="B1672" s="161" t="s">
        <v>3814</v>
      </c>
      <c r="C1672" s="162" t="s">
        <v>3819</v>
      </c>
      <c r="D1672" s="162" t="str">
        <f t="shared" si="27"/>
        <v>鹿児島県天城町</v>
      </c>
      <c r="E1672" s="161">
        <v>8</v>
      </c>
      <c r="F1672" s="157" t="s">
        <v>3820</v>
      </c>
    </row>
    <row r="1673" spans="1:6" ht="15" customHeight="1">
      <c r="A1673" s="155">
        <v>46</v>
      </c>
      <c r="B1673" s="161" t="s">
        <v>3814</v>
      </c>
      <c r="C1673" s="162" t="s">
        <v>3821</v>
      </c>
      <c r="D1673" s="162" t="str">
        <f t="shared" si="27"/>
        <v>鹿児島県奄美市</v>
      </c>
      <c r="E1673" s="161">
        <v>8</v>
      </c>
      <c r="F1673" s="157" t="s">
        <v>3822</v>
      </c>
    </row>
    <row r="1674" spans="1:6" ht="15" customHeight="1">
      <c r="A1674" s="155">
        <v>46</v>
      </c>
      <c r="B1674" s="161" t="s">
        <v>3814</v>
      </c>
      <c r="C1674" s="162" t="s">
        <v>3823</v>
      </c>
      <c r="D1674" s="162" t="str">
        <f t="shared" si="27"/>
        <v>鹿児島県伊佐市</v>
      </c>
      <c r="E1674" s="161">
        <v>6</v>
      </c>
      <c r="F1674" s="157" t="s">
        <v>3824</v>
      </c>
    </row>
    <row r="1675" spans="1:6" ht="15" customHeight="1">
      <c r="A1675" s="155">
        <v>46</v>
      </c>
      <c r="B1675" s="161" t="s">
        <v>3814</v>
      </c>
      <c r="C1675" s="162" t="s">
        <v>3825</v>
      </c>
      <c r="D1675" s="162" t="str">
        <f t="shared" si="27"/>
        <v>鹿児島県出水市</v>
      </c>
      <c r="E1675" s="161">
        <v>7</v>
      </c>
      <c r="F1675" s="157" t="s">
        <v>2775</v>
      </c>
    </row>
    <row r="1676" spans="1:6" ht="15" customHeight="1">
      <c r="A1676" s="155">
        <v>46</v>
      </c>
      <c r="B1676" s="161" t="s">
        <v>3814</v>
      </c>
      <c r="C1676" s="162" t="s">
        <v>3826</v>
      </c>
      <c r="D1676" s="162" t="str">
        <f t="shared" si="27"/>
        <v>鹿児島県伊仙町</v>
      </c>
      <c r="E1676" s="161">
        <v>8</v>
      </c>
      <c r="F1676" s="157" t="s">
        <v>3827</v>
      </c>
    </row>
    <row r="1677" spans="1:6" ht="15" customHeight="1">
      <c r="A1677" s="155">
        <v>46</v>
      </c>
      <c r="B1677" s="161" t="s">
        <v>3814</v>
      </c>
      <c r="C1677" s="162" t="s">
        <v>3828</v>
      </c>
      <c r="D1677" s="162" t="str">
        <f t="shared" si="27"/>
        <v>鹿児島県いちき串木野市</v>
      </c>
      <c r="E1677" s="161">
        <v>7</v>
      </c>
      <c r="F1677" s="157" t="s">
        <v>3829</v>
      </c>
    </row>
    <row r="1678" spans="1:6" ht="15" customHeight="1">
      <c r="A1678" s="155">
        <v>46</v>
      </c>
      <c r="B1678" s="161" t="s">
        <v>3814</v>
      </c>
      <c r="C1678" s="162" t="s">
        <v>3830</v>
      </c>
      <c r="D1678" s="162" t="str">
        <f t="shared" si="27"/>
        <v>鹿児島県指宿市</v>
      </c>
      <c r="E1678" s="161">
        <v>7</v>
      </c>
      <c r="F1678" s="157" t="s">
        <v>3831</v>
      </c>
    </row>
    <row r="1679" spans="1:6" ht="15" customHeight="1">
      <c r="A1679" s="155">
        <v>46</v>
      </c>
      <c r="B1679" s="161" t="s">
        <v>3814</v>
      </c>
      <c r="C1679" s="162" t="s">
        <v>3832</v>
      </c>
      <c r="D1679" s="162" t="str">
        <f t="shared" si="27"/>
        <v>鹿児島県宇検村</v>
      </c>
      <c r="E1679" s="161">
        <v>8</v>
      </c>
      <c r="F1679" s="157" t="s">
        <v>3833</v>
      </c>
    </row>
    <row r="1680" spans="1:6" ht="15" customHeight="1">
      <c r="A1680" s="155">
        <v>46</v>
      </c>
      <c r="B1680" s="161" t="s">
        <v>3814</v>
      </c>
      <c r="C1680" s="162" t="s">
        <v>3834</v>
      </c>
      <c r="D1680" s="162" t="str">
        <f t="shared" si="27"/>
        <v>鹿児島県大崎町</v>
      </c>
      <c r="E1680" s="161">
        <v>7</v>
      </c>
      <c r="F1680" s="157" t="s">
        <v>3835</v>
      </c>
    </row>
    <row r="1681" spans="1:6" ht="15" customHeight="1">
      <c r="A1681" s="155">
        <v>46</v>
      </c>
      <c r="B1681" s="161" t="s">
        <v>3814</v>
      </c>
      <c r="C1681" s="162" t="s">
        <v>3836</v>
      </c>
      <c r="D1681" s="162" t="str">
        <f t="shared" si="27"/>
        <v>鹿児島県鹿児島市</v>
      </c>
      <c r="E1681" s="161">
        <v>7</v>
      </c>
      <c r="F1681" s="157" t="s">
        <v>3837</v>
      </c>
    </row>
    <row r="1682" spans="1:6" ht="15" customHeight="1">
      <c r="A1682" s="155">
        <v>46</v>
      </c>
      <c r="B1682" s="161" t="s">
        <v>3814</v>
      </c>
      <c r="C1682" s="162" t="s">
        <v>3838</v>
      </c>
      <c r="D1682" s="162" t="str">
        <f t="shared" si="27"/>
        <v>鹿児島県鹿屋市</v>
      </c>
      <c r="E1682" s="161">
        <v>7</v>
      </c>
      <c r="F1682" s="157" t="s">
        <v>3839</v>
      </c>
    </row>
    <row r="1683" spans="1:6" ht="15" customHeight="1">
      <c r="A1683" s="155">
        <v>46</v>
      </c>
      <c r="B1683" s="161" t="s">
        <v>3814</v>
      </c>
      <c r="C1683" s="162" t="s">
        <v>3840</v>
      </c>
      <c r="D1683" s="162" t="str">
        <f t="shared" si="27"/>
        <v>鹿児島県喜界町</v>
      </c>
      <c r="E1683" s="161">
        <v>8</v>
      </c>
      <c r="F1683" s="157" t="s">
        <v>3841</v>
      </c>
    </row>
    <row r="1684" spans="1:6" ht="15" customHeight="1">
      <c r="A1684" s="155">
        <v>46</v>
      </c>
      <c r="B1684" s="161" t="s">
        <v>3814</v>
      </c>
      <c r="C1684" s="162" t="s">
        <v>3842</v>
      </c>
      <c r="D1684" s="162" t="str">
        <f t="shared" si="27"/>
        <v>鹿児島県肝付町</v>
      </c>
      <c r="E1684" s="161">
        <v>7</v>
      </c>
      <c r="F1684" s="157" t="s">
        <v>3843</v>
      </c>
    </row>
    <row r="1685" spans="1:6" ht="15" customHeight="1">
      <c r="A1685" s="155">
        <v>46</v>
      </c>
      <c r="B1685" s="161" t="s">
        <v>3814</v>
      </c>
      <c r="C1685" s="162" t="s">
        <v>3844</v>
      </c>
      <c r="D1685" s="162" t="str">
        <f t="shared" si="27"/>
        <v>鹿児島県霧島市</v>
      </c>
      <c r="E1685" s="161">
        <v>7</v>
      </c>
      <c r="F1685" s="157" t="s">
        <v>3845</v>
      </c>
    </row>
    <row r="1686" spans="1:6" ht="15" customHeight="1">
      <c r="A1686" s="155">
        <v>46</v>
      </c>
      <c r="B1686" s="161" t="s">
        <v>3814</v>
      </c>
      <c r="C1686" s="162" t="s">
        <v>3846</v>
      </c>
      <c r="D1686" s="162" t="str">
        <f t="shared" si="27"/>
        <v>鹿児島県錦江町</v>
      </c>
      <c r="E1686" s="161">
        <v>7</v>
      </c>
      <c r="F1686" s="157" t="s">
        <v>3847</v>
      </c>
    </row>
    <row r="1687" spans="1:6" ht="15" customHeight="1">
      <c r="A1687" s="155">
        <v>46</v>
      </c>
      <c r="B1687" s="161" t="s">
        <v>3814</v>
      </c>
      <c r="C1687" s="162" t="s">
        <v>3848</v>
      </c>
      <c r="D1687" s="162" t="str">
        <f t="shared" si="27"/>
        <v>鹿児島県薩摩川内市</v>
      </c>
      <c r="E1687" s="161">
        <v>7</v>
      </c>
      <c r="F1687" s="157" t="s">
        <v>3849</v>
      </c>
    </row>
    <row r="1688" spans="1:6" ht="15" customHeight="1">
      <c r="A1688" s="155">
        <v>46</v>
      </c>
      <c r="B1688" s="161" t="s">
        <v>3814</v>
      </c>
      <c r="C1688" s="162" t="s">
        <v>3850</v>
      </c>
      <c r="D1688" s="162" t="str">
        <f t="shared" si="27"/>
        <v>鹿児島県さつま町</v>
      </c>
      <c r="E1688" s="161">
        <v>7</v>
      </c>
      <c r="F1688" s="157" t="s">
        <v>3851</v>
      </c>
    </row>
    <row r="1689" spans="1:6" ht="15" customHeight="1">
      <c r="A1689" s="155">
        <v>46</v>
      </c>
      <c r="B1689" s="161" t="s">
        <v>3814</v>
      </c>
      <c r="C1689" s="162" t="s">
        <v>3852</v>
      </c>
      <c r="D1689" s="162" t="str">
        <f t="shared" si="27"/>
        <v>鹿児島県志布志市</v>
      </c>
      <c r="E1689" s="161">
        <v>7</v>
      </c>
      <c r="F1689" s="157" t="s">
        <v>3853</v>
      </c>
    </row>
    <row r="1690" spans="1:6" ht="15" customHeight="1">
      <c r="A1690" s="155">
        <v>46</v>
      </c>
      <c r="B1690" s="161" t="s">
        <v>3814</v>
      </c>
      <c r="C1690" s="162" t="s">
        <v>3854</v>
      </c>
      <c r="D1690" s="162" t="str">
        <f t="shared" si="27"/>
        <v>鹿児島県瀬戸内町</v>
      </c>
      <c r="E1690" s="161">
        <v>8</v>
      </c>
      <c r="F1690" s="157" t="s">
        <v>3855</v>
      </c>
    </row>
    <row r="1691" spans="1:6" ht="15" customHeight="1">
      <c r="A1691" s="155">
        <v>46</v>
      </c>
      <c r="B1691" s="161" t="s">
        <v>3814</v>
      </c>
      <c r="C1691" s="162" t="s">
        <v>3856</v>
      </c>
      <c r="D1691" s="162" t="str">
        <f t="shared" si="27"/>
        <v>鹿児島県曽於市</v>
      </c>
      <c r="E1691" s="161">
        <v>7</v>
      </c>
      <c r="F1691" s="157" t="s">
        <v>3857</v>
      </c>
    </row>
    <row r="1692" spans="1:6" ht="15" customHeight="1">
      <c r="A1692" s="155">
        <v>46</v>
      </c>
      <c r="B1692" s="161" t="s">
        <v>3814</v>
      </c>
      <c r="C1692" s="162" t="s">
        <v>3858</v>
      </c>
      <c r="D1692" s="162" t="str">
        <f t="shared" si="27"/>
        <v>鹿児島県大和村</v>
      </c>
      <c r="E1692" s="161">
        <v>8</v>
      </c>
      <c r="F1692" s="157" t="s">
        <v>3859</v>
      </c>
    </row>
    <row r="1693" spans="1:6" ht="15" customHeight="1">
      <c r="A1693" s="155">
        <v>46</v>
      </c>
      <c r="B1693" s="161" t="s">
        <v>3814</v>
      </c>
      <c r="C1693" s="162" t="s">
        <v>3860</v>
      </c>
      <c r="D1693" s="162" t="str">
        <f t="shared" si="27"/>
        <v>鹿児島県龍郷町</v>
      </c>
      <c r="E1693" s="161">
        <v>8</v>
      </c>
      <c r="F1693" s="157" t="s">
        <v>3861</v>
      </c>
    </row>
    <row r="1694" spans="1:6" ht="15" customHeight="1">
      <c r="A1694" s="155">
        <v>46</v>
      </c>
      <c r="B1694" s="161" t="s">
        <v>3814</v>
      </c>
      <c r="C1694" s="162" t="s">
        <v>3862</v>
      </c>
      <c r="D1694" s="162" t="str">
        <f t="shared" si="27"/>
        <v>鹿児島県垂水市</v>
      </c>
      <c r="E1694" s="161">
        <v>7</v>
      </c>
      <c r="F1694" s="157" t="s">
        <v>3863</v>
      </c>
    </row>
    <row r="1695" spans="1:6" ht="15" customHeight="1">
      <c r="A1695" s="155">
        <v>46</v>
      </c>
      <c r="B1695" s="161" t="s">
        <v>3814</v>
      </c>
      <c r="C1695" s="162" t="s">
        <v>3864</v>
      </c>
      <c r="D1695" s="162" t="str">
        <f t="shared" si="27"/>
        <v>鹿児島県知名町</v>
      </c>
      <c r="E1695" s="161">
        <v>8</v>
      </c>
      <c r="F1695" s="157" t="s">
        <v>3865</v>
      </c>
    </row>
    <row r="1696" spans="1:6" ht="15" customHeight="1">
      <c r="A1696" s="155">
        <v>46</v>
      </c>
      <c r="B1696" s="161" t="s">
        <v>3814</v>
      </c>
      <c r="C1696" s="162" t="s">
        <v>3866</v>
      </c>
      <c r="D1696" s="162" t="str">
        <f t="shared" si="27"/>
        <v>鹿児島県徳之島町</v>
      </c>
      <c r="E1696" s="161">
        <v>8</v>
      </c>
      <c r="F1696" s="157" t="s">
        <v>3867</v>
      </c>
    </row>
    <row r="1697" spans="1:6" ht="15" customHeight="1">
      <c r="A1697" s="155">
        <v>46</v>
      </c>
      <c r="B1697" s="161" t="s">
        <v>3814</v>
      </c>
      <c r="C1697" s="162" t="s">
        <v>3868</v>
      </c>
      <c r="D1697" s="162" t="str">
        <f t="shared" si="27"/>
        <v>鹿児島県十島村</v>
      </c>
      <c r="E1697" s="161">
        <v>7</v>
      </c>
      <c r="F1697" s="157" t="s">
        <v>3869</v>
      </c>
    </row>
    <row r="1698" spans="1:6" ht="15" customHeight="1">
      <c r="A1698" s="155">
        <v>46</v>
      </c>
      <c r="B1698" s="161" t="s">
        <v>3814</v>
      </c>
      <c r="C1698" s="162" t="s">
        <v>3870</v>
      </c>
      <c r="D1698" s="162" t="str">
        <f t="shared" si="27"/>
        <v>鹿児島県長島町</v>
      </c>
      <c r="E1698" s="161">
        <v>7</v>
      </c>
      <c r="F1698" s="157" t="s">
        <v>3871</v>
      </c>
    </row>
    <row r="1699" spans="1:6" ht="15" customHeight="1">
      <c r="A1699" s="155">
        <v>46</v>
      </c>
      <c r="B1699" s="161" t="s">
        <v>3814</v>
      </c>
      <c r="C1699" s="162" t="s">
        <v>3872</v>
      </c>
      <c r="D1699" s="162" t="str">
        <f t="shared" si="27"/>
        <v>鹿児島県中種子町</v>
      </c>
      <c r="E1699" s="161">
        <v>7</v>
      </c>
      <c r="F1699" s="157" t="s">
        <v>3873</v>
      </c>
    </row>
    <row r="1700" spans="1:6" ht="15" customHeight="1">
      <c r="A1700" s="155">
        <v>46</v>
      </c>
      <c r="B1700" s="161" t="s">
        <v>3814</v>
      </c>
      <c r="C1700" s="162" t="s">
        <v>3874</v>
      </c>
      <c r="D1700" s="162" t="str">
        <f t="shared" si="27"/>
        <v>鹿児島県西之表市</v>
      </c>
      <c r="E1700" s="161">
        <v>7</v>
      </c>
      <c r="F1700" s="157" t="s">
        <v>3875</v>
      </c>
    </row>
    <row r="1701" spans="1:6" ht="15" customHeight="1">
      <c r="A1701" s="155">
        <v>46</v>
      </c>
      <c r="B1701" s="161" t="s">
        <v>3814</v>
      </c>
      <c r="C1701" s="162" t="s">
        <v>3876</v>
      </c>
      <c r="D1701" s="162" t="str">
        <f t="shared" si="27"/>
        <v>鹿児島県日置市</v>
      </c>
      <c r="E1701" s="161">
        <v>7</v>
      </c>
      <c r="F1701" s="157" t="s">
        <v>3877</v>
      </c>
    </row>
    <row r="1702" spans="1:6" ht="15" customHeight="1">
      <c r="A1702" s="155">
        <v>46</v>
      </c>
      <c r="B1702" s="161" t="s">
        <v>3814</v>
      </c>
      <c r="C1702" s="162" t="s">
        <v>3878</v>
      </c>
      <c r="D1702" s="162" t="str">
        <f t="shared" si="27"/>
        <v>鹿児島県東串良町</v>
      </c>
      <c r="E1702" s="161">
        <v>7</v>
      </c>
      <c r="F1702" s="157" t="s">
        <v>3879</v>
      </c>
    </row>
    <row r="1703" spans="1:6" ht="15" customHeight="1">
      <c r="A1703" s="155">
        <v>46</v>
      </c>
      <c r="B1703" s="161" t="s">
        <v>3814</v>
      </c>
      <c r="C1703" s="162" t="s">
        <v>3880</v>
      </c>
      <c r="D1703" s="162" t="str">
        <f t="shared" si="27"/>
        <v>鹿児島県枕崎市</v>
      </c>
      <c r="E1703" s="161">
        <v>7</v>
      </c>
      <c r="F1703" s="157" t="s">
        <v>3881</v>
      </c>
    </row>
    <row r="1704" spans="1:6" ht="15" customHeight="1">
      <c r="A1704" s="155">
        <v>46</v>
      </c>
      <c r="B1704" s="161" t="s">
        <v>3814</v>
      </c>
      <c r="C1704" s="162" t="s">
        <v>3882</v>
      </c>
      <c r="D1704" s="162" t="str">
        <f t="shared" si="27"/>
        <v>鹿児島県三島村</v>
      </c>
      <c r="E1704" s="161">
        <v>7</v>
      </c>
      <c r="F1704" s="157" t="s">
        <v>3883</v>
      </c>
    </row>
    <row r="1705" spans="1:6" ht="15" customHeight="1">
      <c r="A1705" s="155">
        <v>46</v>
      </c>
      <c r="B1705" s="161" t="s">
        <v>3814</v>
      </c>
      <c r="C1705" s="162" t="s">
        <v>3884</v>
      </c>
      <c r="D1705" s="162" t="str">
        <f t="shared" si="27"/>
        <v>鹿児島県南大隅町</v>
      </c>
      <c r="E1705" s="161">
        <v>7</v>
      </c>
      <c r="F1705" s="157" t="s">
        <v>3885</v>
      </c>
    </row>
    <row r="1706" spans="1:6" ht="15" customHeight="1">
      <c r="A1706" s="155">
        <v>46</v>
      </c>
      <c r="B1706" s="161" t="s">
        <v>3814</v>
      </c>
      <c r="C1706" s="162" t="s">
        <v>3886</v>
      </c>
      <c r="D1706" s="162" t="str">
        <f t="shared" si="27"/>
        <v>鹿児島県南九州市</v>
      </c>
      <c r="E1706" s="161">
        <v>7</v>
      </c>
      <c r="F1706" s="157" t="s">
        <v>3887</v>
      </c>
    </row>
    <row r="1707" spans="1:6" ht="15" customHeight="1">
      <c r="A1707" s="155">
        <v>46</v>
      </c>
      <c r="B1707" s="161" t="s">
        <v>3814</v>
      </c>
      <c r="C1707" s="162" t="s">
        <v>3888</v>
      </c>
      <c r="D1707" s="162" t="str">
        <f t="shared" si="27"/>
        <v>鹿児島県南さつま市</v>
      </c>
      <c r="E1707" s="161">
        <v>7</v>
      </c>
      <c r="F1707" s="157" t="s">
        <v>3889</v>
      </c>
    </row>
    <row r="1708" spans="1:6" ht="15" customHeight="1">
      <c r="A1708" s="155">
        <v>46</v>
      </c>
      <c r="B1708" s="161" t="s">
        <v>3814</v>
      </c>
      <c r="C1708" s="162" t="s">
        <v>3890</v>
      </c>
      <c r="D1708" s="162" t="str">
        <f t="shared" si="27"/>
        <v>鹿児島県南種子町</v>
      </c>
      <c r="E1708" s="161">
        <v>7</v>
      </c>
      <c r="F1708" s="157" t="s">
        <v>3891</v>
      </c>
    </row>
    <row r="1709" spans="1:6" ht="15" customHeight="1">
      <c r="A1709" s="155">
        <v>46</v>
      </c>
      <c r="B1709" s="161" t="s">
        <v>3814</v>
      </c>
      <c r="C1709" s="162" t="s">
        <v>3892</v>
      </c>
      <c r="D1709" s="162" t="str">
        <f t="shared" si="27"/>
        <v>鹿児島県屋久島町</v>
      </c>
      <c r="E1709" s="161">
        <v>7</v>
      </c>
      <c r="F1709" s="157" t="s">
        <v>3893</v>
      </c>
    </row>
    <row r="1710" spans="1:6" ht="15" customHeight="1">
      <c r="A1710" s="155">
        <v>46</v>
      </c>
      <c r="B1710" s="161" t="s">
        <v>3814</v>
      </c>
      <c r="C1710" s="162" t="s">
        <v>3894</v>
      </c>
      <c r="D1710" s="162" t="str">
        <f t="shared" si="27"/>
        <v>鹿児島県湧水町</v>
      </c>
      <c r="E1710" s="161">
        <v>6</v>
      </c>
      <c r="F1710" s="157" t="s">
        <v>3895</v>
      </c>
    </row>
    <row r="1711" spans="1:6" ht="15" customHeight="1">
      <c r="A1711" s="155">
        <v>46</v>
      </c>
      <c r="B1711" s="161" t="s">
        <v>3814</v>
      </c>
      <c r="C1711" s="162" t="s">
        <v>3896</v>
      </c>
      <c r="D1711" s="162" t="str">
        <f t="shared" si="27"/>
        <v>鹿児島県与論町</v>
      </c>
      <c r="E1711" s="161">
        <v>8</v>
      </c>
      <c r="F1711" s="157" t="s">
        <v>3897</v>
      </c>
    </row>
    <row r="1712" spans="1:6" ht="15" customHeight="1">
      <c r="A1712" s="155">
        <v>46</v>
      </c>
      <c r="B1712" s="161" t="s">
        <v>3814</v>
      </c>
      <c r="C1712" s="162" t="s">
        <v>3898</v>
      </c>
      <c r="D1712" s="162" t="str">
        <f t="shared" si="27"/>
        <v>鹿児島県和泊町</v>
      </c>
      <c r="E1712" s="161">
        <v>8</v>
      </c>
      <c r="F1712" s="157" t="s">
        <v>3899</v>
      </c>
    </row>
    <row r="1713" spans="1:6" ht="15" customHeight="1">
      <c r="A1713" s="155">
        <v>47</v>
      </c>
      <c r="B1713" s="161" t="s">
        <v>3900</v>
      </c>
      <c r="C1713" s="162" t="s">
        <v>3901</v>
      </c>
      <c r="D1713" s="162" t="str">
        <f t="shared" si="27"/>
        <v>沖縄県全ての市町村</v>
      </c>
      <c r="E1713" s="161">
        <v>8</v>
      </c>
      <c r="F1713" s="157" t="s">
        <v>3902</v>
      </c>
    </row>
  </sheetData>
  <sheetProtection selectLockedCells="1"/>
  <mergeCells count="4">
    <mergeCell ref="B2:B3"/>
    <mergeCell ref="C2:C3"/>
    <mergeCell ref="D2:D3"/>
    <mergeCell ref="L2:L3"/>
  </mergeCells>
  <phoneticPr fontId="12"/>
  <conditionalFormatting sqref="C4:C51">
    <cfRule type="cellIs" dxfId="0" priority="1" operator="equal">
      <formula>"上記以外"</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09E66-A544-4642-A575-8F363ADDE546}">
  <sheetPr codeName="Sheet1">
    <tabColor rgb="FF0066FF"/>
    <pageSetUpPr fitToPage="1"/>
  </sheetPr>
  <dimension ref="A1:AI54"/>
  <sheetViews>
    <sheetView showGridLines="0" view="pageBreakPreview" zoomScale="60" zoomScaleNormal="70" workbookViewId="0">
      <selection activeCell="C5" sqref="C5:E5"/>
    </sheetView>
  </sheetViews>
  <sheetFormatPr defaultColWidth="0" defaultRowHeight="13.5" zeroHeight="1"/>
  <cols>
    <col min="1" max="1" width="7.75" style="1" customWidth="1"/>
    <col min="2" max="5" width="8.75" style="1" customWidth="1"/>
    <col min="6" max="6" width="0.5" style="1" customWidth="1"/>
    <col min="7" max="7" width="9" style="1" bestFit="1" customWidth="1"/>
    <col min="8" max="8" width="3.25" style="1" bestFit="1" customWidth="1"/>
    <col min="9" max="9" width="5.25" style="1" customWidth="1"/>
    <col min="10" max="10" width="3.25" style="1" bestFit="1" customWidth="1"/>
    <col min="11" max="11" width="5.25" style="1" customWidth="1"/>
    <col min="12" max="12" width="3.25" style="1" bestFit="1" customWidth="1"/>
    <col min="13" max="23" width="8.75" style="1" customWidth="1"/>
    <col min="24" max="16384" width="8.75" style="1" hidden="1"/>
  </cols>
  <sheetData>
    <row r="1" spans="1:23" ht="42" customHeight="1">
      <c r="A1" s="354" t="s">
        <v>3994</v>
      </c>
      <c r="B1" s="146"/>
      <c r="C1" s="146"/>
      <c r="D1" s="146"/>
      <c r="E1" s="146"/>
      <c r="F1" s="146"/>
      <c r="G1" s="146"/>
      <c r="H1" s="146"/>
      <c r="I1" s="146"/>
      <c r="J1" s="146"/>
      <c r="K1" s="146"/>
      <c r="L1" s="146"/>
      <c r="M1" s="146"/>
      <c r="N1" s="146"/>
      <c r="O1" s="146"/>
      <c r="P1" s="146"/>
      <c r="Q1" s="146"/>
      <c r="R1" s="146"/>
      <c r="S1" s="146"/>
      <c r="T1" s="146"/>
      <c r="U1" s="146"/>
      <c r="V1" s="146"/>
      <c r="W1" s="146"/>
    </row>
    <row r="2" spans="1:23" ht="9" customHeight="1"/>
    <row r="3" spans="1:23" ht="13.5" customHeight="1"/>
    <row r="4" spans="1:23">
      <c r="C4" s="428" t="s">
        <v>4277</v>
      </c>
      <c r="G4" s="278" t="s">
        <v>4003</v>
      </c>
    </row>
    <row r="5" spans="1:23" ht="30" customHeight="1">
      <c r="C5" s="435"/>
      <c r="D5" s="435"/>
      <c r="E5" s="435"/>
      <c r="G5" s="249"/>
      <c r="H5" s="1" t="s">
        <v>11</v>
      </c>
      <c r="I5" s="249"/>
      <c r="J5" s="1" t="s">
        <v>12</v>
      </c>
      <c r="K5" s="249"/>
      <c r="L5" s="1" t="s">
        <v>13</v>
      </c>
    </row>
    <row r="6" spans="1:23" ht="3" customHeight="1"/>
    <row r="7" spans="1:23" ht="30" customHeight="1">
      <c r="B7" s="286" t="s">
        <v>31</v>
      </c>
      <c r="C7" s="437"/>
      <c r="D7" s="437"/>
      <c r="E7" s="437"/>
      <c r="F7" s="437"/>
      <c r="G7" s="437"/>
      <c r="H7" s="437"/>
      <c r="I7" s="437"/>
      <c r="J7" s="437"/>
      <c r="K7" s="437"/>
      <c r="L7" s="437"/>
      <c r="M7" s="437"/>
      <c r="N7" s="437"/>
      <c r="O7" s="437"/>
      <c r="P7" s="437"/>
      <c r="Q7" s="437"/>
    </row>
    <row r="8" spans="1:23" ht="3" customHeight="1"/>
    <row r="9" spans="1:23" ht="30" customHeight="1">
      <c r="B9" s="286" t="s">
        <v>3973</v>
      </c>
      <c r="C9" s="437"/>
      <c r="D9" s="438"/>
      <c r="E9" s="438"/>
      <c r="F9" s="438"/>
      <c r="G9" s="438"/>
      <c r="H9" s="438"/>
      <c r="I9" s="438"/>
      <c r="J9" s="438"/>
      <c r="K9" s="438"/>
      <c r="L9" s="438"/>
      <c r="M9" s="438"/>
      <c r="N9" s="438"/>
      <c r="O9" s="438"/>
      <c r="P9" s="438"/>
      <c r="Q9" s="438"/>
    </row>
    <row r="10" spans="1:23" ht="3" customHeight="1"/>
    <row r="11" spans="1:23" ht="30" customHeight="1">
      <c r="B11" s="286" t="s">
        <v>3974</v>
      </c>
      <c r="C11" s="437"/>
      <c r="D11" s="438"/>
      <c r="E11" s="438"/>
      <c r="F11" s="438"/>
      <c r="G11" s="438"/>
      <c r="H11" s="438"/>
      <c r="I11" s="438"/>
      <c r="J11" s="438"/>
      <c r="K11" s="438"/>
      <c r="L11" s="438"/>
      <c r="M11" s="438"/>
      <c r="N11" s="438"/>
      <c r="O11" s="438"/>
      <c r="P11" s="438"/>
      <c r="Q11" s="438"/>
      <c r="R11" s="154"/>
    </row>
    <row r="12" spans="1:23" ht="3" customHeight="1"/>
    <row r="13" spans="1:23" ht="30" customHeight="1">
      <c r="B13" s="286" t="s">
        <v>14</v>
      </c>
      <c r="C13" s="437"/>
      <c r="D13" s="438"/>
      <c r="E13" s="438"/>
      <c r="F13" s="438"/>
      <c r="G13" s="438"/>
      <c r="H13" s="438"/>
      <c r="I13" s="438"/>
      <c r="J13" s="438"/>
      <c r="K13" s="438"/>
      <c r="L13" s="438"/>
      <c r="M13" s="438"/>
      <c r="N13" s="438"/>
      <c r="O13" s="438"/>
      <c r="P13" s="438"/>
      <c r="Q13" s="438"/>
    </row>
    <row r="14" spans="1:23" ht="1.9" customHeight="1"/>
    <row r="15" spans="1:23">
      <c r="C15" s="2" t="s">
        <v>15</v>
      </c>
      <c r="G15" s="2"/>
    </row>
    <row r="16" spans="1:23" ht="30" customHeight="1">
      <c r="B16" s="286" t="s">
        <v>17</v>
      </c>
      <c r="C16" s="435"/>
      <c r="D16" s="435"/>
    </row>
    <row r="17" spans="1:35" ht="1.9" customHeight="1"/>
    <row r="18" spans="1:35">
      <c r="C18" s="2" t="s">
        <v>16</v>
      </c>
      <c r="G18" s="2"/>
    </row>
    <row r="19" spans="1:35" ht="30" customHeight="1">
      <c r="C19" s="441"/>
      <c r="D19" s="438"/>
      <c r="E19" s="438"/>
      <c r="F19" s="438"/>
      <c r="G19" s="438"/>
      <c r="H19" s="438"/>
      <c r="I19" s="438"/>
      <c r="J19" s="438"/>
      <c r="K19" s="438"/>
      <c r="L19" s="438"/>
      <c r="M19" s="438"/>
      <c r="N19" s="438"/>
      <c r="O19" s="438"/>
      <c r="P19" s="438"/>
      <c r="Q19" s="438"/>
      <c r="AI19" s="75" t="str">
        <f>C16&amp;C19</f>
        <v/>
      </c>
    </row>
    <row r="20" spans="1:35" ht="1.9" customHeight="1"/>
    <row r="21" spans="1:35" ht="24" customHeight="1" thickBot="1">
      <c r="A21" s="439" t="s">
        <v>0</v>
      </c>
      <c r="B21" s="439"/>
      <c r="C21" s="440" t="str">
        <f>IFERROR(VLOOKUP(AI19,地域区分検索,2,FALSE),"")</f>
        <v/>
      </c>
      <c r="E21" s="436" t="str">
        <f>IF(OR(C16="",C19=""),"",IF(C21="","エラー‼　建設地の　「都道府県」　と　「市町村」　を正しく選択してください",""))</f>
        <v/>
      </c>
      <c r="F21" s="436"/>
      <c r="G21" s="436"/>
      <c r="H21" s="436"/>
      <c r="I21" s="436"/>
      <c r="J21" s="436"/>
      <c r="K21" s="436"/>
      <c r="L21" s="436"/>
      <c r="M21" s="436"/>
      <c r="N21" s="436"/>
      <c r="O21" s="436"/>
      <c r="P21" s="436"/>
      <c r="Q21" s="436"/>
      <c r="R21" s="330"/>
      <c r="AI21" s="75" t="str">
        <f>IF(OR(C21=1,C21=2,C21=3,C21=4),"B 仕様入力シート　１２３４地域",IF(OR(C21=5,C21=6,C21=7),"B 仕様入力シート　５６７地域",IF(C21=8,"B 仕様入力シート　８地域","最初に入力してください　基本情報")))</f>
        <v>最初に入力してください　基本情報</v>
      </c>
    </row>
    <row r="22" spans="1:35" ht="15" customHeight="1" thickTop="1" thickBot="1">
      <c r="A22" s="439"/>
      <c r="B22" s="439"/>
      <c r="C22" s="440"/>
      <c r="D22" s="3" t="s">
        <v>1</v>
      </c>
      <c r="E22" s="436"/>
      <c r="F22" s="436"/>
      <c r="G22" s="436"/>
      <c r="H22" s="436"/>
      <c r="I22" s="436"/>
      <c r="J22" s="436"/>
      <c r="K22" s="436"/>
      <c r="L22" s="436"/>
      <c r="M22" s="436"/>
      <c r="N22" s="436"/>
      <c r="O22" s="436"/>
      <c r="P22" s="436"/>
      <c r="Q22" s="436"/>
      <c r="R22" s="330"/>
    </row>
    <row r="23" spans="1:35" ht="14.25" thickTop="1"/>
    <row r="24" spans="1:35" ht="15" customHeight="1"/>
    <row r="25" spans="1:35" ht="24" customHeight="1"/>
    <row r="26" spans="1:35" ht="24" customHeight="1"/>
    <row r="27" spans="1:35" ht="24" customHeight="1"/>
    <row r="28" spans="1:35" ht="13.5" hidden="1" customHeight="1"/>
    <row r="29" spans="1:35"/>
    <row r="30" spans="1:35"/>
    <row r="31" spans="1:35"/>
    <row r="32" spans="1:35"/>
    <row r="33" s="1" customFormat="1"/>
    <row r="34" s="1" customFormat="1"/>
    <row r="35" s="1" customFormat="1"/>
    <row r="36" s="1" customFormat="1"/>
    <row r="37" s="1" customFormat="1"/>
    <row r="38" s="1" customFormat="1"/>
    <row r="39" s="1" customFormat="1"/>
    <row r="40" s="1" customFormat="1"/>
    <row r="41" s="1" customFormat="1"/>
    <row r="42" s="1" customFormat="1"/>
    <row r="43" s="1" customFormat="1" hidden="1"/>
    <row r="44" s="1" customFormat="1" hidden="1"/>
    <row r="45" s="1" customFormat="1" hidden="1"/>
    <row r="46" s="1" customFormat="1" hidden="1"/>
    <row r="47" s="1" customFormat="1" hidden="1"/>
    <row r="48" s="1" customFormat="1" hidden="1"/>
    <row r="49" s="1" customFormat="1" hidden="1"/>
    <row r="50" s="1" customFormat="1" hidden="1"/>
    <row r="51" s="1" customFormat="1" hidden="1"/>
    <row r="52" s="1" customFormat="1" hidden="1"/>
    <row r="53" s="1" customFormat="1" hidden="1"/>
    <row r="54" s="1" customFormat="1" hidden="1"/>
  </sheetData>
  <sheetProtection algorithmName="SHA-512" hashValue="6OL+Hzo/FMxLdGzEOYd1hgfmOsHu8/TaDdCnQSeUrBJRqlHa2uUUfKrD0PcWlvI9usYMatV9xpLJ4z1yah8UUA==" saltValue="uoop1TSiewUGPAeJUuK1rQ==" spinCount="100000" sheet="1" selectLockedCells="1"/>
  <mergeCells count="10">
    <mergeCell ref="C5:E5"/>
    <mergeCell ref="E21:Q22"/>
    <mergeCell ref="C9:Q9"/>
    <mergeCell ref="C7:Q7"/>
    <mergeCell ref="A21:B22"/>
    <mergeCell ref="C21:C22"/>
    <mergeCell ref="C16:D16"/>
    <mergeCell ref="C19:Q19"/>
    <mergeCell ref="C13:Q13"/>
    <mergeCell ref="C11:Q11"/>
  </mergeCells>
  <phoneticPr fontId="12"/>
  <dataValidations count="2">
    <dataValidation type="list" allowBlank="1" showInputMessage="1" showErrorMessage="1" sqref="C16:D16" xr:uid="{D111769D-8FE1-4CEB-8846-66F445BBBF55}">
      <formula1>都道府県名</formula1>
    </dataValidation>
    <dataValidation type="list" allowBlank="1" showInputMessage="1" showErrorMessage="1" sqref="C19" xr:uid="{77151F9A-1FA8-4AEB-8957-B5D314648A9B}">
      <formula1>INDIRECT(C16)</formula1>
    </dataValidation>
  </dataValidations>
  <pageMargins left="0.70866141732283472" right="0.70866141732283472" top="0.74803149606299213" bottom="0.74803149606299213" header="0.31496062992125984" footer="0.31496062992125984"/>
  <pageSetup paperSize="9" scale="71" orientation="landscape"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0AC5C-8BF1-4CF7-9DCE-5EC53A0EA130}">
  <sheetPr codeName="Sheet15">
    <tabColor rgb="FF0066FF"/>
  </sheetPr>
  <dimension ref="A1:BJ83"/>
  <sheetViews>
    <sheetView showGridLines="0" view="pageBreakPreview" zoomScale="30" zoomScaleNormal="100" zoomScaleSheetLayoutView="30" workbookViewId="0">
      <pane ySplit="4" topLeftCell="A5" activePane="bottomLeft" state="frozen"/>
      <selection pane="bottomLeft" activeCell="C13" sqref="C13"/>
    </sheetView>
  </sheetViews>
  <sheetFormatPr defaultColWidth="0" defaultRowHeight="13.5"/>
  <cols>
    <col min="1" max="1" width="3.25" style="1" customWidth="1"/>
    <col min="2" max="2" width="23" style="1" customWidth="1"/>
    <col min="3" max="5" width="12.75" style="1" customWidth="1"/>
    <col min="6" max="8" width="12.875" style="1" customWidth="1"/>
    <col min="9" max="10" width="12.75" style="1" customWidth="1"/>
    <col min="11" max="12" width="13.5" style="1" customWidth="1"/>
    <col min="13" max="17" width="12.75" style="1" customWidth="1"/>
    <col min="18" max="19" width="13.5" style="1" customWidth="1"/>
    <col min="20" max="25" width="12.75" style="1" customWidth="1"/>
    <col min="26" max="27" width="12.75" style="1" hidden="1" customWidth="1"/>
    <col min="28" max="16384" width="8.75" style="1" hidden="1"/>
  </cols>
  <sheetData>
    <row r="1" spans="2:53" ht="23.25" customHeight="1" thickBot="1">
      <c r="B1" s="469" t="s">
        <v>4015</v>
      </c>
      <c r="C1" s="469"/>
      <c r="D1" s="469"/>
      <c r="E1" s="469"/>
      <c r="F1" s="469"/>
      <c r="G1" s="469"/>
      <c r="H1" s="471" t="s">
        <v>0</v>
      </c>
      <c r="I1" s="474" t="str">
        <f>IF('A 最初に入力してください　基本情報'!C21="","",'A 最初に入力してください　基本情報'!C21)</f>
        <v/>
      </c>
      <c r="K1" s="475" t="str">
        <f>IF(OR('A 最初に入力してください　基本情報'!C16="",'A 最初に入力してください　基本情報'!C19=""),"",IF(OR(I1=1,I1=2,I1=3,I1=4),"","←入力するシートが違います!!"))</f>
        <v/>
      </c>
      <c r="L1" s="475"/>
      <c r="M1" s="475"/>
      <c r="N1" s="476"/>
      <c r="O1" s="477" t="s">
        <v>3914</v>
      </c>
      <c r="P1" s="478"/>
      <c r="Q1" s="189"/>
      <c r="R1" s="182"/>
      <c r="Y1" s="75"/>
      <c r="Z1" s="75" t="s">
        <v>261</v>
      </c>
      <c r="AA1" s="75" t="s">
        <v>261</v>
      </c>
      <c r="AB1" s="75" t="s">
        <v>261</v>
      </c>
      <c r="AC1" s="75" t="s">
        <v>261</v>
      </c>
      <c r="AD1" s="75" t="s">
        <v>261</v>
      </c>
      <c r="AE1" s="75" t="s">
        <v>261</v>
      </c>
      <c r="AF1" s="75" t="s">
        <v>261</v>
      </c>
      <c r="AG1" s="75" t="s">
        <v>261</v>
      </c>
      <c r="AH1" s="75" t="s">
        <v>261</v>
      </c>
      <c r="AI1" s="75" t="s">
        <v>261</v>
      </c>
      <c r="AJ1" s="75" t="s">
        <v>261</v>
      </c>
      <c r="AK1" s="75" t="s">
        <v>261</v>
      </c>
      <c r="AL1" s="75" t="s">
        <v>261</v>
      </c>
      <c r="AM1" s="75" t="s">
        <v>261</v>
      </c>
      <c r="AN1" s="75" t="s">
        <v>261</v>
      </c>
      <c r="AO1" s="75" t="s">
        <v>261</v>
      </c>
      <c r="AP1" s="75" t="s">
        <v>261</v>
      </c>
      <c r="AQ1" s="75" t="s">
        <v>261</v>
      </c>
      <c r="AR1" s="75" t="s">
        <v>261</v>
      </c>
      <c r="AS1" s="75" t="s">
        <v>261</v>
      </c>
      <c r="AT1" s="75" t="s">
        <v>261</v>
      </c>
      <c r="AU1" s="75" t="s">
        <v>261</v>
      </c>
      <c r="AV1" s="75" t="s">
        <v>261</v>
      </c>
      <c r="AW1" s="75" t="s">
        <v>261</v>
      </c>
      <c r="AX1" s="75" t="s">
        <v>261</v>
      </c>
      <c r="AY1" s="75" t="s">
        <v>261</v>
      </c>
      <c r="AZ1" s="75" t="s">
        <v>261</v>
      </c>
      <c r="BA1" s="75" t="s">
        <v>261</v>
      </c>
    </row>
    <row r="2" spans="2:53" ht="18.75" customHeight="1" thickTop="1" thickBot="1">
      <c r="B2" s="469"/>
      <c r="C2" s="469"/>
      <c r="D2" s="469"/>
      <c r="E2" s="469"/>
      <c r="F2" s="469"/>
      <c r="G2" s="469"/>
      <c r="H2" s="471"/>
      <c r="I2" s="474"/>
      <c r="J2" s="479" t="s">
        <v>1</v>
      </c>
      <c r="K2" s="475"/>
      <c r="L2" s="475"/>
      <c r="M2" s="475"/>
      <c r="N2" s="476"/>
      <c r="O2" s="481" t="str">
        <f>IF(OR(I1=1,I1=2,I1=3,I1=4),IF((SUM(AP13:AP19)+SUM(AP29:AP29)+AP38+AP42)&gt;0,"不適","適合"),"")</f>
        <v/>
      </c>
      <c r="P2" s="482"/>
      <c r="Q2" s="189"/>
      <c r="R2" s="182"/>
      <c r="X2" s="214"/>
    </row>
    <row r="3" spans="2:53" ht="15.75" customHeight="1" thickTop="1" thickBot="1">
      <c r="B3" s="469"/>
      <c r="C3" s="469"/>
      <c r="D3" s="469"/>
      <c r="E3" s="469"/>
      <c r="F3" s="469"/>
      <c r="G3" s="469"/>
      <c r="H3" s="471"/>
      <c r="I3" s="474"/>
      <c r="J3" s="480"/>
      <c r="K3" s="475"/>
      <c r="L3" s="475"/>
      <c r="M3" s="475"/>
      <c r="N3" s="476"/>
      <c r="O3" s="483"/>
      <c r="P3" s="484"/>
      <c r="Q3" s="182"/>
      <c r="R3" s="182"/>
    </row>
    <row r="4" spans="2:53" ht="6" customHeight="1" thickTop="1">
      <c r="J4" s="151"/>
      <c r="K4" s="153"/>
      <c r="L4" s="30"/>
      <c r="M4" s="182"/>
      <c r="N4" s="182"/>
      <c r="O4" s="182"/>
      <c r="P4" s="182"/>
      <c r="Q4" s="182"/>
      <c r="R4" s="182"/>
      <c r="S4" s="190"/>
      <c r="T4" s="190"/>
    </row>
    <row r="5" spans="2:53" ht="24" customHeight="1">
      <c r="B5" s="152"/>
      <c r="C5" s="152"/>
      <c r="D5" s="152"/>
      <c r="E5" s="152"/>
      <c r="F5" s="152"/>
      <c r="G5" s="152"/>
      <c r="H5" s="152"/>
      <c r="J5" s="151"/>
      <c r="K5" s="153"/>
      <c r="L5" s="30"/>
      <c r="M5" s="150"/>
      <c r="N5" s="150"/>
      <c r="O5" s="150"/>
      <c r="P5" s="150"/>
      <c r="Q5" s="150"/>
      <c r="R5" s="150"/>
    </row>
    <row r="6" spans="2:53" ht="24" customHeight="1">
      <c r="B6" s="152"/>
      <c r="C6" s="152"/>
      <c r="D6" s="152"/>
      <c r="E6" s="152"/>
      <c r="F6" s="152"/>
      <c r="G6" s="152"/>
      <c r="H6" s="152"/>
      <c r="J6" s="151"/>
      <c r="K6" s="153"/>
      <c r="L6" s="30"/>
      <c r="M6" s="150"/>
      <c r="N6" s="150"/>
      <c r="O6" s="150"/>
      <c r="P6" s="150"/>
      <c r="Q6" s="150"/>
      <c r="R6" s="150"/>
    </row>
    <row r="7" spans="2:53" ht="279" customHeight="1"/>
    <row r="8" spans="2:53" ht="21" customHeight="1">
      <c r="C8" s="225"/>
      <c r="D8" s="225"/>
      <c r="E8" s="225"/>
      <c r="F8" s="464"/>
      <c r="G8" s="464"/>
      <c r="H8" s="226" t="s">
        <v>3975</v>
      </c>
      <c r="I8" s="228"/>
      <c r="J8" s="226" t="s">
        <v>3975</v>
      </c>
      <c r="K8" s="228"/>
      <c r="N8" s="350"/>
      <c r="O8" s="350"/>
      <c r="P8" s="226" t="s">
        <v>3975</v>
      </c>
      <c r="Q8" s="226" t="s">
        <v>3975</v>
      </c>
      <c r="R8" s="226" t="s">
        <v>3975</v>
      </c>
      <c r="AD8" s="8"/>
    </row>
    <row r="9" spans="2:53" ht="18" customHeight="1">
      <c r="B9" s="147"/>
      <c r="C9" s="59" t="s">
        <v>480</v>
      </c>
      <c r="D9" s="59" t="s">
        <v>481</v>
      </c>
      <c r="E9" s="59" t="s">
        <v>482</v>
      </c>
      <c r="F9" s="470" t="s">
        <v>483</v>
      </c>
      <c r="G9" s="470"/>
      <c r="H9" s="59" t="s">
        <v>484</v>
      </c>
      <c r="I9" s="59" t="s">
        <v>485</v>
      </c>
      <c r="J9" s="59" t="s">
        <v>486</v>
      </c>
      <c r="K9" s="59" t="s">
        <v>487</v>
      </c>
      <c r="L9" s="470" t="s">
        <v>488</v>
      </c>
      <c r="M9" s="470"/>
      <c r="N9" s="470"/>
      <c r="O9" s="461"/>
      <c r="P9" s="461" t="s">
        <v>4165</v>
      </c>
      <c r="Q9" s="463"/>
      <c r="R9" s="400"/>
      <c r="AD9" s="8"/>
      <c r="AS9" s="196" t="s">
        <v>4048</v>
      </c>
    </row>
    <row r="10" spans="2:53" s="8" customFormat="1" ht="14.25">
      <c r="B10" s="463" t="s">
        <v>2</v>
      </c>
      <c r="C10" s="58" t="s">
        <v>33</v>
      </c>
      <c r="D10" s="59" t="s">
        <v>227</v>
      </c>
      <c r="E10" s="470" t="s">
        <v>20</v>
      </c>
      <c r="F10" s="461" t="s">
        <v>35</v>
      </c>
      <c r="G10" s="463"/>
      <c r="H10" s="470" t="s">
        <v>32</v>
      </c>
      <c r="I10" s="470" t="s">
        <v>3</v>
      </c>
      <c r="J10" s="59" t="s">
        <v>3906</v>
      </c>
      <c r="K10" s="59" t="s">
        <v>231</v>
      </c>
      <c r="L10" s="461" t="s">
        <v>232</v>
      </c>
      <c r="M10" s="462"/>
      <c r="N10" s="462"/>
      <c r="O10" s="462"/>
      <c r="P10" s="461"/>
      <c r="Q10" s="463"/>
      <c r="R10" s="473" t="s">
        <v>4</v>
      </c>
      <c r="U10" s="1"/>
      <c r="V10" s="1"/>
      <c r="W10" s="1"/>
      <c r="X10" s="1"/>
      <c r="Y10" s="1"/>
      <c r="Z10" s="1"/>
      <c r="AA10" s="1"/>
      <c r="AB10" s="1"/>
      <c r="AC10" s="1"/>
      <c r="AS10" s="75">
        <v>1</v>
      </c>
      <c r="AT10" s="75">
        <v>2</v>
      </c>
      <c r="AU10" s="75">
        <v>3</v>
      </c>
      <c r="AV10" s="75">
        <v>4</v>
      </c>
      <c r="AW10" s="75">
        <v>5</v>
      </c>
      <c r="AX10" s="75">
        <v>6</v>
      </c>
    </row>
    <row r="11" spans="2:53" s="8" customFormat="1" ht="15.75">
      <c r="B11" s="463"/>
      <c r="C11" s="58" t="s">
        <v>3923</v>
      </c>
      <c r="D11" s="58" t="s">
        <v>225</v>
      </c>
      <c r="E11" s="470"/>
      <c r="F11" s="461"/>
      <c r="G11" s="463"/>
      <c r="H11" s="470"/>
      <c r="I11" s="470"/>
      <c r="J11" s="59" t="s">
        <v>3976</v>
      </c>
      <c r="K11" s="59" t="s">
        <v>3905</v>
      </c>
      <c r="L11" s="461" t="s">
        <v>3938</v>
      </c>
      <c r="M11" s="462"/>
      <c r="N11" s="462"/>
      <c r="O11" s="462"/>
      <c r="P11" s="401" t="s">
        <v>4166</v>
      </c>
      <c r="Q11" s="401" t="s">
        <v>497</v>
      </c>
      <c r="R11" s="473"/>
      <c r="U11" s="1"/>
      <c r="V11" s="1"/>
      <c r="W11" s="1"/>
      <c r="X11" s="1"/>
      <c r="Y11" s="1"/>
      <c r="Z11" s="1"/>
      <c r="AA11" s="1"/>
      <c r="AB11" s="1"/>
      <c r="AC11" s="196" t="s">
        <v>3955</v>
      </c>
      <c r="AD11" s="1"/>
      <c r="AF11" s="196" t="s">
        <v>490</v>
      </c>
      <c r="AG11" s="74" t="s">
        <v>491</v>
      </c>
      <c r="AJ11" s="1"/>
      <c r="AL11" s="196" t="s">
        <v>4</v>
      </c>
      <c r="AM11" s="196"/>
      <c r="AQ11" s="196"/>
    </row>
    <row r="12" spans="2:53" s="8" customFormat="1" ht="19.899999999999999" customHeight="1">
      <c r="B12" s="409"/>
      <c r="C12" s="409"/>
      <c r="D12" s="409"/>
      <c r="E12" s="409"/>
      <c r="F12" s="171"/>
      <c r="G12" s="23"/>
      <c r="H12" s="410" t="s">
        <v>262</v>
      </c>
      <c r="I12" s="180" t="s">
        <v>515</v>
      </c>
      <c r="J12" s="180" t="s">
        <v>226</v>
      </c>
      <c r="K12" s="180" t="s">
        <v>226</v>
      </c>
      <c r="L12" s="485" t="s">
        <v>374</v>
      </c>
      <c r="M12" s="486"/>
      <c r="N12" s="486"/>
      <c r="O12" s="486"/>
      <c r="P12" s="180" t="s">
        <v>226</v>
      </c>
      <c r="Q12" s="180" t="s">
        <v>226</v>
      </c>
      <c r="R12" s="402"/>
      <c r="U12" s="1"/>
      <c r="V12" s="1"/>
      <c r="W12" s="1"/>
      <c r="X12" s="1"/>
      <c r="Y12" s="1"/>
      <c r="Z12" s="1"/>
      <c r="AA12" s="1"/>
      <c r="AB12" s="1"/>
      <c r="AC12" s="196" t="s">
        <v>4168</v>
      </c>
      <c r="AD12" s="1"/>
      <c r="AF12" s="196" t="s">
        <v>3932</v>
      </c>
      <c r="AG12" s="196" t="s">
        <v>58</v>
      </c>
      <c r="AH12" s="196" t="s">
        <v>59</v>
      </c>
      <c r="AI12" s="196" t="s">
        <v>3947</v>
      </c>
      <c r="AJ12" s="196" t="s">
        <v>497</v>
      </c>
      <c r="AL12" s="196" t="s">
        <v>3955</v>
      </c>
      <c r="AM12" s="196" t="s">
        <v>3956</v>
      </c>
      <c r="AP12" s="196" t="s">
        <v>3914</v>
      </c>
      <c r="AQ12" s="196"/>
      <c r="AS12" s="74" t="s">
        <v>20</v>
      </c>
      <c r="AT12" s="74" t="s">
        <v>35</v>
      </c>
      <c r="AU12" s="74" t="s">
        <v>4025</v>
      </c>
      <c r="AV12" s="74" t="s">
        <v>4026</v>
      </c>
      <c r="AW12" s="74" t="s">
        <v>4027</v>
      </c>
      <c r="AX12" s="74" t="s">
        <v>232</v>
      </c>
    </row>
    <row r="13" spans="2:53" ht="45" customHeight="1">
      <c r="B13" s="403" t="s">
        <v>5</v>
      </c>
      <c r="C13" s="404"/>
      <c r="D13" s="405"/>
      <c r="E13" s="405"/>
      <c r="F13" s="449"/>
      <c r="G13" s="450"/>
      <c r="H13" s="406" t="str">
        <f>IF(F13="","",VLOOKUP(F13,断熱材_非表示!$G$6:$H$87,2,FALSE))</f>
        <v/>
      </c>
      <c r="I13" s="218"/>
      <c r="J13" s="407" t="str">
        <f>IF(OR(F13="",I13=""),"",ROUNDDOWN((I13/1000/H13),1))</f>
        <v/>
      </c>
      <c r="K13" s="404"/>
      <c r="L13" s="472"/>
      <c r="M13" s="441"/>
      <c r="N13" s="441"/>
      <c r="O13" s="441"/>
      <c r="P13" s="188" t="str">
        <f>IF(D13="","",IF(D13="直接入力",AC13,J13))</f>
        <v/>
      </c>
      <c r="Q13" s="408" t="str">
        <f t="shared" ref="Q13:Q19" si="0">IFERROR(IF(D13="直接入力",IF(K13="","",AI13&amp;" "&amp;FIXED(AJ13,1)),IF(J13="","",AI13&amp;" "&amp;FIXED(AJ13,1))),"エラー")</f>
        <v/>
      </c>
      <c r="R13" s="318" t="str">
        <f t="shared" ref="R13:R19" si="1">IF(C13="該当部位なし","該当部位なし",IF(D13="","",IF(OR($I$1=5,$I$1=6,$I$1=7,$I$1=8),"地域に対し入力するシートが違います",IF(D13="直接入力",AL13,IF(D13="断熱材の種類から入力",AM13,"")))))</f>
        <v/>
      </c>
      <c r="AC13" s="211" t="str">
        <f>IF(K13="","",ROUNDDOWN(K13,1))</f>
        <v/>
      </c>
      <c r="AE13" s="196">
        <v>2</v>
      </c>
      <c r="AF13" s="211" t="e">
        <f>VLOOKUP($I$1,'仕様基準-省エネ基準_非表示'!$B$6:$J$9,$AE13,FALSE)</f>
        <v>#N/A</v>
      </c>
      <c r="AG13" s="211" t="e">
        <f>VLOOKUP($I$1,'仕様基準-省エネ基準_非表示'!$B$18:$J$21,$AE13,FALSE)</f>
        <v>#N/A</v>
      </c>
      <c r="AH13" s="211" t="e">
        <f>VLOOKUP($I$1,'仕様基準-省エネ基準_非表示'!$B$30:$J$33,$AE13,FALSE)</f>
        <v>#N/A</v>
      </c>
      <c r="AI13" s="211" t="s">
        <v>3952</v>
      </c>
      <c r="AJ13" s="211" t="str">
        <f>IF(E13=$AF$12,AF13,IF(E13=$AG$12,AG13,IF(E13=$AH$12,AH13,"未入力")))</f>
        <v>未入力</v>
      </c>
      <c r="AL13" s="75" t="str">
        <f>IF(K13="","",IF(K13&gt;=AJ13,"適合","不適"))</f>
        <v/>
      </c>
      <c r="AM13" s="75" t="str">
        <f>IF(J13="","",IF(J13&gt;=AJ13,"適合","不適"))</f>
        <v/>
      </c>
      <c r="AP13" s="422">
        <f>IF(C13="断熱部位",IF(R13="適合",0,1),0)</f>
        <v>0</v>
      </c>
      <c r="AQ13" s="213"/>
      <c r="AS13" s="371" t="str">
        <f>IF(C13="該当部位なし","－",IF(E13="","",E13))</f>
        <v/>
      </c>
      <c r="AT13" s="371" t="str">
        <f>IF(C13="該当部位なし","－",IF(D13="直接入力","－",IF(F13="","",F13)))</f>
        <v/>
      </c>
      <c r="AU13" s="371" t="str">
        <f>IF(C13="該当部位なし","－",IF(D13="直接入力","－",IF(I13="","",I13)))</f>
        <v/>
      </c>
      <c r="AV13" s="372" t="str">
        <f>IF(C13="該当部位なし","－",IF(OR(P13="",P13=0),"",P13))</f>
        <v/>
      </c>
      <c r="AW13" s="372" t="str">
        <f>IF(C13="該当部位なし","－",IF(AJ13="未入力","",AJ13))</f>
        <v/>
      </c>
      <c r="AX13" s="371" t="str">
        <f>IF(C13="","",IF(C13="該当部位なし","該当部位なし",IF(L13="","－",L13)))</f>
        <v/>
      </c>
    </row>
    <row r="14" spans="2:53" ht="45" customHeight="1">
      <c r="B14" s="192" t="s">
        <v>6</v>
      </c>
      <c r="C14" s="215"/>
      <c r="D14" s="216"/>
      <c r="E14" s="216"/>
      <c r="F14" s="451"/>
      <c r="G14" s="466"/>
      <c r="H14" s="314" t="str">
        <f>IF(F14="","",VLOOKUP(F14,断熱材_非表示!$G$6:$H$87,2,FALSE))</f>
        <v/>
      </c>
      <c r="I14" s="217"/>
      <c r="J14" s="188" t="str">
        <f t="shared" ref="J14:J19" si="2">IF(OR(F14="",I14=""),"",ROUNDDOWN((I14/1000/H14),1))</f>
        <v/>
      </c>
      <c r="K14" s="215"/>
      <c r="L14" s="451"/>
      <c r="M14" s="452"/>
      <c r="N14" s="452"/>
      <c r="O14" s="452"/>
      <c r="P14" s="188" t="str">
        <f t="shared" ref="P14:P19" si="3">IF(D14="","",IF(D14="直接入力",AC14,J14))</f>
        <v/>
      </c>
      <c r="Q14" s="319" t="str">
        <f t="shared" si="0"/>
        <v/>
      </c>
      <c r="R14" s="318" t="str">
        <f t="shared" si="1"/>
        <v/>
      </c>
      <c r="AC14" s="211" t="str">
        <f t="shared" ref="AC14:AC19" si="4">IF(K14="","",ROUNDDOWN(K14,1))</f>
        <v/>
      </c>
      <c r="AE14" s="196">
        <v>3</v>
      </c>
      <c r="AF14" s="211" t="e">
        <f>VLOOKUP($I$1,'仕様基準-省エネ基準_非表示'!$B$6:$J$9,$AE14,FALSE)</f>
        <v>#N/A</v>
      </c>
      <c r="AG14" s="211" t="e">
        <f>VLOOKUP($I$1,'仕様基準-省エネ基準_非表示'!$B$18:$J$21,$AE14,FALSE)</f>
        <v>#N/A</v>
      </c>
      <c r="AH14" s="211" t="e">
        <f>VLOOKUP($I$1,'仕様基準-省エネ基準_非表示'!$B$30:$J$33,$AE14,FALSE)</f>
        <v>#N/A</v>
      </c>
      <c r="AI14" s="211" t="s">
        <v>3952</v>
      </c>
      <c r="AJ14" s="211" t="str">
        <f t="shared" ref="AJ14:AJ16" si="5">IF(E14=$AF$12,AF14,IF(E14=$AG$12,AG14,IF(E14=$AH$12,AH14,"未入力")))</f>
        <v>未入力</v>
      </c>
      <c r="AL14" s="75" t="str">
        <f t="shared" ref="AL14:AL19" si="6">IF(K14="","",IF(K14&gt;=AJ14,"適合","不適"))</f>
        <v/>
      </c>
      <c r="AM14" s="75" t="str">
        <f t="shared" ref="AM14:AM19" si="7">IF(J14="","",IF(J14&gt;=AJ14,"適合","不適"))</f>
        <v/>
      </c>
      <c r="AP14" s="422">
        <f>IF(C14="断熱部位",IF(R14="適合",0,1),0)</f>
        <v>0</v>
      </c>
      <c r="AQ14" s="213"/>
      <c r="AS14" s="371" t="str">
        <f t="shared" ref="AS14:AS19" si="8">IF(C14="該当部位なし","－",IF(E14="","",E14))</f>
        <v/>
      </c>
      <c r="AT14" s="371" t="str">
        <f t="shared" ref="AT14:AT19" si="9">IF(C14="該当部位なし","－",IF(D14="直接入力","－",IF(F14="","",F14)))</f>
        <v/>
      </c>
      <c r="AU14" s="371" t="str">
        <f t="shared" ref="AU14:AU19" si="10">IF(C14="該当部位なし","－",IF(D14="直接入力","－",IF(I14="","",I14)))</f>
        <v/>
      </c>
      <c r="AV14" s="372" t="str">
        <f t="shared" ref="AV14:AV19" si="11">IF(C14="該当部位なし","－",IF(OR(P14="",P14=0),"",P14))</f>
        <v/>
      </c>
      <c r="AW14" s="372" t="str">
        <f t="shared" ref="AW14:AW17" si="12">IF(C14="該当部位なし","－",IF(AJ14="未入力","",AJ14))</f>
        <v/>
      </c>
      <c r="AX14" s="371" t="str">
        <f>IF(C14="","",IF(C14="該当部位なし","該当部位なし",IF(L14="","－",L14)))</f>
        <v/>
      </c>
    </row>
    <row r="15" spans="2:53" ht="45" customHeight="1">
      <c r="B15" s="192" t="s">
        <v>7</v>
      </c>
      <c r="C15" s="24"/>
      <c r="D15" s="216"/>
      <c r="E15" s="216"/>
      <c r="F15" s="451"/>
      <c r="G15" s="466"/>
      <c r="H15" s="314" t="str">
        <f>IF(F15="","",VLOOKUP(F15,断熱材_非表示!$G$6:$H$87,2,FALSE))</f>
        <v/>
      </c>
      <c r="I15" s="217"/>
      <c r="J15" s="188" t="str">
        <f t="shared" si="2"/>
        <v/>
      </c>
      <c r="K15" s="215"/>
      <c r="L15" s="451"/>
      <c r="M15" s="452"/>
      <c r="N15" s="452"/>
      <c r="O15" s="452"/>
      <c r="P15" s="188" t="str">
        <f t="shared" si="3"/>
        <v/>
      </c>
      <c r="Q15" s="319" t="str">
        <f t="shared" si="0"/>
        <v/>
      </c>
      <c r="R15" s="318" t="str">
        <f t="shared" si="1"/>
        <v/>
      </c>
      <c r="AC15" s="211" t="str">
        <f t="shared" si="4"/>
        <v/>
      </c>
      <c r="AE15" s="196">
        <v>4</v>
      </c>
      <c r="AF15" s="211" t="e">
        <f>VLOOKUP($I$1,'仕様基準-省エネ基準_非表示'!$B$6:$J$9,$AE15,FALSE)</f>
        <v>#N/A</v>
      </c>
      <c r="AG15" s="211" t="e">
        <f>VLOOKUP($I$1,'仕様基準-省エネ基準_非表示'!$B$18:$J$21,$AE15,FALSE)</f>
        <v>#N/A</v>
      </c>
      <c r="AH15" s="211" t="e">
        <f>VLOOKUP($I$1,'仕様基準-省エネ基準_非表示'!$B$30:$J$33,$AE15,FALSE)</f>
        <v>#N/A</v>
      </c>
      <c r="AI15" s="211" t="s">
        <v>3952</v>
      </c>
      <c r="AJ15" s="211" t="str">
        <f t="shared" si="5"/>
        <v>未入力</v>
      </c>
      <c r="AL15" s="75" t="str">
        <f t="shared" si="6"/>
        <v/>
      </c>
      <c r="AM15" s="75" t="str">
        <f t="shared" si="7"/>
        <v/>
      </c>
      <c r="AP15" s="422">
        <f>IF(R15="適合",0,1)</f>
        <v>1</v>
      </c>
      <c r="AQ15" s="213"/>
      <c r="AS15" s="371" t="str">
        <f t="shared" si="8"/>
        <v/>
      </c>
      <c r="AT15" s="371" t="str">
        <f t="shared" si="9"/>
        <v/>
      </c>
      <c r="AU15" s="371" t="str">
        <f t="shared" si="10"/>
        <v/>
      </c>
      <c r="AV15" s="372" t="str">
        <f t="shared" si="11"/>
        <v/>
      </c>
      <c r="AW15" s="372" t="str">
        <f t="shared" si="12"/>
        <v/>
      </c>
      <c r="AX15" s="371" t="str">
        <f>IF(D15="","",IF(L15="","－",L15))</f>
        <v/>
      </c>
    </row>
    <row r="16" spans="2:53" ht="45" customHeight="1">
      <c r="B16" s="12" t="s">
        <v>4260</v>
      </c>
      <c r="C16" s="215"/>
      <c r="D16" s="216"/>
      <c r="E16" s="216"/>
      <c r="F16" s="451"/>
      <c r="G16" s="466"/>
      <c r="H16" s="314" t="str">
        <f>IF(F16="","",VLOOKUP(F16,断熱材_非表示!$G$6:$H$87,2,FALSE))</f>
        <v/>
      </c>
      <c r="I16" s="217"/>
      <c r="J16" s="188" t="str">
        <f t="shared" si="2"/>
        <v/>
      </c>
      <c r="K16" s="215"/>
      <c r="L16" s="451"/>
      <c r="M16" s="452"/>
      <c r="N16" s="452"/>
      <c r="O16" s="452"/>
      <c r="P16" s="188" t="str">
        <f t="shared" si="3"/>
        <v/>
      </c>
      <c r="Q16" s="319" t="str">
        <f t="shared" si="0"/>
        <v/>
      </c>
      <c r="R16" s="318" t="str">
        <f t="shared" si="1"/>
        <v/>
      </c>
      <c r="AC16" s="211" t="str">
        <f t="shared" si="4"/>
        <v/>
      </c>
      <c r="AE16" s="196">
        <v>5</v>
      </c>
      <c r="AF16" s="211" t="e">
        <f>VLOOKUP($I$1,'仕様基準-省エネ基準_非表示'!$B$6:$J$9,$AE16,FALSE)</f>
        <v>#N/A</v>
      </c>
      <c r="AG16" s="211" t="e">
        <f>VLOOKUP($I$1,'仕様基準-省エネ基準_非表示'!$B$18:$J$21,$AE16,FALSE)</f>
        <v>#N/A</v>
      </c>
      <c r="AH16" s="211" t="e">
        <f>VLOOKUP($I$1,'仕様基準-省エネ基準_非表示'!$B$30:$J$33,$AE16,FALSE)</f>
        <v>#N/A</v>
      </c>
      <c r="AI16" s="211" t="s">
        <v>3952</v>
      </c>
      <c r="AJ16" s="211" t="str">
        <f t="shared" si="5"/>
        <v>未入力</v>
      </c>
      <c r="AL16" s="75" t="str">
        <f t="shared" si="6"/>
        <v/>
      </c>
      <c r="AM16" s="75" t="str">
        <f t="shared" si="7"/>
        <v/>
      </c>
      <c r="AP16" s="422">
        <f>IF(C16="断熱部位",IF(R16="適合",0,1),0)</f>
        <v>0</v>
      </c>
      <c r="AQ16" s="213"/>
      <c r="AS16" s="371" t="str">
        <f t="shared" si="8"/>
        <v/>
      </c>
      <c r="AT16" s="371" t="str">
        <f t="shared" si="9"/>
        <v/>
      </c>
      <c r="AU16" s="371" t="str">
        <f t="shared" si="10"/>
        <v/>
      </c>
      <c r="AV16" s="372" t="str">
        <f t="shared" si="11"/>
        <v/>
      </c>
      <c r="AW16" s="372" t="str">
        <f t="shared" si="12"/>
        <v/>
      </c>
      <c r="AX16" s="371" t="str">
        <f>IF(C16="","",IF(C16="該当部位なし","該当部位なし",IF(L16="","－",L16)))</f>
        <v/>
      </c>
    </row>
    <row r="17" spans="2:62" ht="45" customHeight="1">
      <c r="B17" s="12" t="s">
        <v>4285</v>
      </c>
      <c r="C17" s="215"/>
      <c r="D17" s="216"/>
      <c r="E17" s="216"/>
      <c r="F17" s="451"/>
      <c r="G17" s="466"/>
      <c r="H17" s="314" t="str">
        <f>IF(F17="","",VLOOKUP(F17,断熱材_非表示!$G$6:$H$87,2,FALSE))</f>
        <v/>
      </c>
      <c r="I17" s="217"/>
      <c r="J17" s="188" t="str">
        <f t="shared" si="2"/>
        <v/>
      </c>
      <c r="K17" s="215"/>
      <c r="L17" s="451"/>
      <c r="M17" s="452"/>
      <c r="N17" s="452"/>
      <c r="O17" s="452"/>
      <c r="P17" s="188" t="str">
        <f t="shared" si="3"/>
        <v/>
      </c>
      <c r="Q17" s="319" t="str">
        <f t="shared" si="0"/>
        <v/>
      </c>
      <c r="R17" s="318" t="str">
        <f t="shared" si="1"/>
        <v/>
      </c>
      <c r="AC17" s="211" t="str">
        <f t="shared" si="4"/>
        <v/>
      </c>
      <c r="AE17" s="196">
        <v>6</v>
      </c>
      <c r="AF17" s="211" t="e">
        <f>VLOOKUP($I$1,'仕様基準-省エネ基準_非表示'!$B$6:$J$9,$AE17,FALSE)</f>
        <v>#N/A</v>
      </c>
      <c r="AG17" s="211" t="e">
        <f>VLOOKUP($I$1,'仕様基準-省エネ基準_非表示'!$B$18:$J$21,$AE17,FALSE)</f>
        <v>#N/A</v>
      </c>
      <c r="AH17" s="211" t="e">
        <f>VLOOKUP($I$1,'仕様基準-省エネ基準_非表示'!$B$30:$J$33,$AE17,FALSE)</f>
        <v>#N/A</v>
      </c>
      <c r="AI17" s="211" t="s">
        <v>3952</v>
      </c>
      <c r="AJ17" s="211" t="str">
        <f>IF(E17=$AF$12,AF17,IF(E17=$AG$12,AG17,IF(E17=$AH$12,AH17,"未入力")))</f>
        <v>未入力</v>
      </c>
      <c r="AL17" s="75" t="str">
        <f t="shared" si="6"/>
        <v/>
      </c>
      <c r="AM17" s="75" t="str">
        <f t="shared" si="7"/>
        <v/>
      </c>
      <c r="AP17" s="422">
        <f>IF(C17="断熱部位",IF(R17="適合",0,1),0)</f>
        <v>0</v>
      </c>
      <c r="AQ17" s="213"/>
      <c r="AS17" s="371" t="str">
        <f t="shared" si="8"/>
        <v/>
      </c>
      <c r="AT17" s="371" t="str">
        <f t="shared" si="9"/>
        <v/>
      </c>
      <c r="AU17" s="371" t="str">
        <f t="shared" si="10"/>
        <v/>
      </c>
      <c r="AV17" s="372" t="str">
        <f t="shared" si="11"/>
        <v/>
      </c>
      <c r="AW17" s="372" t="str">
        <f t="shared" si="12"/>
        <v/>
      </c>
      <c r="AX17" s="371" t="str">
        <f>IF(C17="","",IF(C17="該当部位なし","該当部位なし",IF(L17="","－",L17)))</f>
        <v/>
      </c>
    </row>
    <row r="18" spans="2:62" ht="45.75">
      <c r="B18" s="399" t="s">
        <v>4286</v>
      </c>
      <c r="C18" s="215"/>
      <c r="D18" s="216"/>
      <c r="E18" s="21" t="str">
        <f>IF(C18="断熱部位","内断熱、外断熱または両側断熱","")</f>
        <v/>
      </c>
      <c r="F18" s="451"/>
      <c r="G18" s="466"/>
      <c r="H18" s="314" t="str">
        <f>IF(F18="","",VLOOKUP(F18,断熱材_非表示!$G$6:$H$87,2,FALSE))</f>
        <v/>
      </c>
      <c r="I18" s="217"/>
      <c r="J18" s="188" t="str">
        <f t="shared" si="2"/>
        <v/>
      </c>
      <c r="K18" s="215"/>
      <c r="L18" s="451"/>
      <c r="M18" s="452"/>
      <c r="N18" s="452"/>
      <c r="O18" s="452"/>
      <c r="P18" s="188" t="str">
        <f t="shared" si="3"/>
        <v/>
      </c>
      <c r="Q18" s="319" t="str">
        <f t="shared" si="0"/>
        <v/>
      </c>
      <c r="R18" s="318" t="str">
        <f t="shared" si="1"/>
        <v/>
      </c>
      <c r="AC18" s="211" t="str">
        <f t="shared" si="4"/>
        <v/>
      </c>
      <c r="AE18" s="196">
        <v>8</v>
      </c>
      <c r="AF18" s="211" t="e">
        <f>VLOOKUP($I$1,'仕様基準-省エネ基準_非表示'!$B$6:$J$9,$AE18,FALSE)</f>
        <v>#N/A</v>
      </c>
      <c r="AG18" s="211"/>
      <c r="AH18" s="211"/>
      <c r="AI18" s="211" t="s">
        <v>3952</v>
      </c>
      <c r="AJ18" s="211" t="e">
        <f>AF18</f>
        <v>#N/A</v>
      </c>
      <c r="AL18" s="75" t="str">
        <f t="shared" si="6"/>
        <v/>
      </c>
      <c r="AM18" s="75" t="str">
        <f t="shared" si="7"/>
        <v/>
      </c>
      <c r="AP18" s="422">
        <f>IF(C18="断熱部位",IF(R18="適合",0,1),0)</f>
        <v>0</v>
      </c>
      <c r="AQ18" s="213"/>
      <c r="AS18" s="382"/>
      <c r="AT18" s="371" t="str">
        <f t="shared" si="9"/>
        <v/>
      </c>
      <c r="AU18" s="371" t="str">
        <f t="shared" si="10"/>
        <v/>
      </c>
      <c r="AV18" s="372" t="str">
        <f t="shared" si="11"/>
        <v/>
      </c>
      <c r="AW18" s="372" t="str">
        <f>IF(C18="該当部位なし","－",IF(D18="","",AJ18))</f>
        <v/>
      </c>
      <c r="AX18" s="371" t="str">
        <f>IF(C18="","",IF(C18="該当部位なし","該当部位なし",IF(L18="","－",L18)))</f>
        <v/>
      </c>
    </row>
    <row r="19" spans="2:62" ht="45.75">
      <c r="B19" s="399" t="s">
        <v>4287</v>
      </c>
      <c r="C19" s="215"/>
      <c r="D19" s="216"/>
      <c r="E19" s="21" t="str">
        <f>IF(C19="断熱部位","内断熱、外断熱または両側断熱","")</f>
        <v/>
      </c>
      <c r="F19" s="451"/>
      <c r="G19" s="466"/>
      <c r="H19" s="314" t="str">
        <f>IF(F19="","",VLOOKUP(F19,断熱材_非表示!$G$6:$H$87,2,FALSE))</f>
        <v/>
      </c>
      <c r="I19" s="217"/>
      <c r="J19" s="188" t="str">
        <f t="shared" si="2"/>
        <v/>
      </c>
      <c r="K19" s="215"/>
      <c r="L19" s="451"/>
      <c r="M19" s="452"/>
      <c r="N19" s="452"/>
      <c r="O19" s="452"/>
      <c r="P19" s="188" t="str">
        <f t="shared" si="3"/>
        <v/>
      </c>
      <c r="Q19" s="319" t="str">
        <f t="shared" si="0"/>
        <v/>
      </c>
      <c r="R19" s="318" t="str">
        <f t="shared" si="1"/>
        <v/>
      </c>
      <c r="AC19" s="211" t="str">
        <f t="shared" si="4"/>
        <v/>
      </c>
      <c r="AE19" s="196">
        <v>9</v>
      </c>
      <c r="AF19" s="211" t="e">
        <f>VLOOKUP($I$1,'仕様基準-省エネ基準_非表示'!$B$6:$J$9,$AE19,FALSE)</f>
        <v>#N/A</v>
      </c>
      <c r="AG19" s="211"/>
      <c r="AH19" s="211"/>
      <c r="AI19" s="211" t="s">
        <v>3952</v>
      </c>
      <c r="AJ19" s="211" t="e">
        <f>AF19</f>
        <v>#N/A</v>
      </c>
      <c r="AL19" s="75" t="str">
        <f t="shared" si="6"/>
        <v/>
      </c>
      <c r="AM19" s="75" t="str">
        <f t="shared" si="7"/>
        <v/>
      </c>
      <c r="AP19" s="422">
        <f>IF(C19="断熱部位",IF(R19="適合",0,1),0)</f>
        <v>0</v>
      </c>
      <c r="AQ19" s="213"/>
      <c r="AS19" s="382" t="str">
        <f t="shared" si="8"/>
        <v/>
      </c>
      <c r="AT19" s="371" t="str">
        <f t="shared" si="9"/>
        <v/>
      </c>
      <c r="AU19" s="371" t="str">
        <f t="shared" si="10"/>
        <v/>
      </c>
      <c r="AV19" s="372" t="str">
        <f t="shared" si="11"/>
        <v/>
      </c>
      <c r="AW19" s="372" t="str">
        <f>IF(C19="該当部位なし","－",IF(D19="","",AJ19))</f>
        <v/>
      </c>
      <c r="AX19" s="371" t="str">
        <f>IF(C19="","",IF(C19="該当部位なし","該当部位なし",IF(L19="","－",L19)))</f>
        <v/>
      </c>
    </row>
    <row r="20" spans="2:62" ht="15.75" customHeight="1">
      <c r="B20" s="154" t="s">
        <v>3999</v>
      </c>
      <c r="AC20" s="8"/>
      <c r="AS20" s="75"/>
      <c r="AT20" s="75"/>
      <c r="AU20" s="75"/>
      <c r="AV20" s="75"/>
      <c r="AW20" s="75"/>
      <c r="AX20" s="75"/>
    </row>
    <row r="21" spans="2:62" ht="15.75" customHeight="1">
      <c r="B21" s="154" t="s">
        <v>4288</v>
      </c>
      <c r="AC21" s="8"/>
      <c r="AS21" s="75"/>
      <c r="AT21" s="75"/>
      <c r="AU21" s="75"/>
      <c r="AV21" s="75"/>
      <c r="AW21" s="75"/>
      <c r="AX21" s="75"/>
    </row>
    <row r="22" spans="2:62">
      <c r="C22" s="4"/>
      <c r="D22" s="4"/>
      <c r="AS22" s="75"/>
      <c r="AT22" s="75"/>
      <c r="AU22" s="75"/>
      <c r="AV22" s="75"/>
      <c r="AW22" s="75"/>
      <c r="AX22" s="75"/>
    </row>
    <row r="23" spans="2:62" ht="235.5" customHeight="1">
      <c r="X23" s="8"/>
      <c r="Y23" s="8"/>
      <c r="Z23" s="8"/>
      <c r="AA23" s="8"/>
      <c r="AB23" s="8"/>
      <c r="AD23" s="8"/>
    </row>
    <row r="24" spans="2:62" ht="21" customHeight="1">
      <c r="C24" s="123"/>
      <c r="D24" s="123"/>
      <c r="E24" s="225"/>
      <c r="F24" s="225"/>
      <c r="G24" s="464"/>
      <c r="H24" s="464"/>
      <c r="I24" s="464"/>
      <c r="J24" s="464"/>
      <c r="K24" s="464"/>
      <c r="L24" s="464"/>
      <c r="M24" s="228"/>
      <c r="N24" s="228"/>
      <c r="O24" s="226" t="s">
        <v>3975</v>
      </c>
      <c r="P24" s="226" t="s">
        <v>3975</v>
      </c>
      <c r="Q24" s="226" t="s">
        <v>3975</v>
      </c>
      <c r="Y24" s="8"/>
      <c r="Z24" s="8"/>
      <c r="AA24" s="8"/>
      <c r="AB24" s="122"/>
      <c r="AC24" s="122"/>
      <c r="AD24" s="8"/>
      <c r="AE24" s="8"/>
      <c r="AF24" s="8"/>
      <c r="AJ24" s="8"/>
      <c r="AS24" s="196" t="s">
        <v>4048</v>
      </c>
      <c r="BG24" s="75"/>
      <c r="BH24" s="75"/>
      <c r="BI24" s="75"/>
      <c r="BJ24" s="75"/>
    </row>
    <row r="25" spans="2:62" ht="18" customHeight="1">
      <c r="B25" s="174"/>
      <c r="C25" s="176" t="s">
        <v>480</v>
      </c>
      <c r="D25" s="460" t="s">
        <v>481</v>
      </c>
      <c r="E25" s="460"/>
      <c r="F25" s="460" t="s">
        <v>482</v>
      </c>
      <c r="G25" s="460"/>
      <c r="H25" s="460" t="s">
        <v>483</v>
      </c>
      <c r="I25" s="460"/>
      <c r="J25" s="176" t="s">
        <v>484</v>
      </c>
      <c r="K25" s="487" t="s">
        <v>485</v>
      </c>
      <c r="L25" s="488"/>
      <c r="M25" s="488"/>
      <c r="N25" s="489"/>
      <c r="O25" s="177"/>
      <c r="P25" s="251"/>
      <c r="Q25" s="177"/>
      <c r="AA25" s="8"/>
      <c r="AB25" s="122"/>
      <c r="AC25" s="122"/>
      <c r="AD25" s="8"/>
      <c r="AE25" s="8"/>
      <c r="AF25" s="8"/>
      <c r="AJ25" s="8"/>
      <c r="AN25" s="196" t="s">
        <v>4</v>
      </c>
      <c r="AO25" s="196"/>
      <c r="AS25" s="75" t="s">
        <v>233</v>
      </c>
      <c r="AT25" s="75" t="s">
        <v>4159</v>
      </c>
      <c r="AU25" s="75" t="s">
        <v>4032</v>
      </c>
      <c r="AV25" s="75" t="s">
        <v>3961</v>
      </c>
      <c r="AW25" s="75" t="s">
        <v>4161</v>
      </c>
      <c r="AX25" s="75"/>
      <c r="AY25" s="75" t="s">
        <v>4162</v>
      </c>
      <c r="AZ25" s="75"/>
      <c r="BA25" s="75" t="s">
        <v>232</v>
      </c>
      <c r="BG25" s="75"/>
      <c r="BH25" s="75"/>
      <c r="BI25" s="75"/>
      <c r="BJ25" s="75"/>
    </row>
    <row r="26" spans="2:62" s="8" customFormat="1" ht="30" customHeight="1">
      <c r="B26" s="5" t="s">
        <v>2</v>
      </c>
      <c r="C26" s="170" t="s">
        <v>3903</v>
      </c>
      <c r="D26" s="453" t="s">
        <v>233</v>
      </c>
      <c r="E26" s="454"/>
      <c r="F26" s="453" t="s">
        <v>234</v>
      </c>
      <c r="G26" s="455"/>
      <c r="H26" s="453" t="s">
        <v>333</v>
      </c>
      <c r="I26" s="455"/>
      <c r="J26" s="9" t="s">
        <v>3907</v>
      </c>
      <c r="K26" s="456" t="s">
        <v>4004</v>
      </c>
      <c r="L26" s="455"/>
      <c r="M26" s="455"/>
      <c r="N26" s="454"/>
      <c r="O26" s="457" t="s">
        <v>3987</v>
      </c>
      <c r="P26" s="458"/>
      <c r="Q26" s="7" t="s">
        <v>4</v>
      </c>
      <c r="S26" s="1"/>
      <c r="AB26" s="122"/>
      <c r="AC26" s="122"/>
      <c r="AD26" s="1"/>
      <c r="AG26" s="1"/>
      <c r="AH26" s="196" t="s">
        <v>497</v>
      </c>
      <c r="AI26" s="1"/>
      <c r="AJ26" s="196" t="s">
        <v>3955</v>
      </c>
      <c r="AK26" s="196" t="s">
        <v>3956</v>
      </c>
      <c r="AL26" s="196" t="s">
        <v>3955</v>
      </c>
      <c r="AM26" s="196" t="s">
        <v>3956</v>
      </c>
      <c r="AN26" s="196" t="s">
        <v>3955</v>
      </c>
      <c r="AO26" s="196" t="s">
        <v>3956</v>
      </c>
      <c r="AS26" s="75"/>
      <c r="AT26" s="75"/>
      <c r="AU26" s="75"/>
      <c r="AV26" s="75"/>
      <c r="AW26" s="75" t="s">
        <v>4160</v>
      </c>
      <c r="AX26" s="75" t="s">
        <v>497</v>
      </c>
      <c r="AY26" s="75" t="s">
        <v>4160</v>
      </c>
      <c r="AZ26" s="75" t="s">
        <v>497</v>
      </c>
      <c r="BA26" s="75"/>
    </row>
    <row r="27" spans="2:62" s="8" customFormat="1" ht="18" customHeight="1">
      <c r="B27" s="5"/>
      <c r="C27" s="170"/>
      <c r="D27" s="7"/>
      <c r="E27" s="5"/>
      <c r="F27" s="7"/>
      <c r="G27" s="250"/>
      <c r="H27" s="7"/>
      <c r="I27" s="250"/>
      <c r="J27" s="9"/>
      <c r="K27" s="456" t="s">
        <v>4005</v>
      </c>
      <c r="L27" s="467"/>
      <c r="M27" s="467"/>
      <c r="N27" s="468"/>
      <c r="O27" s="9" t="s">
        <v>498</v>
      </c>
      <c r="P27" s="9" t="s">
        <v>3986</v>
      </c>
      <c r="Q27" s="7"/>
      <c r="S27" s="1"/>
      <c r="AB27" s="122"/>
      <c r="AC27" s="196" t="s">
        <v>3955</v>
      </c>
      <c r="AD27" s="1"/>
      <c r="AG27" s="1"/>
      <c r="AH27" s="196"/>
      <c r="AI27" s="1"/>
      <c r="AJ27" s="196"/>
      <c r="AK27" s="196"/>
      <c r="AL27" s="196"/>
      <c r="AM27" s="196"/>
      <c r="AN27" s="196"/>
      <c r="AO27" s="196"/>
      <c r="AQ27" s="196" t="s">
        <v>4048</v>
      </c>
      <c r="AS27" s="75">
        <v>1</v>
      </c>
      <c r="AT27" s="75">
        <v>2</v>
      </c>
      <c r="AU27" s="75">
        <v>3</v>
      </c>
      <c r="AV27" s="75">
        <v>4</v>
      </c>
      <c r="AW27" s="75">
        <v>5</v>
      </c>
      <c r="AX27" s="75">
        <v>6</v>
      </c>
      <c r="AY27" s="75">
        <v>7</v>
      </c>
      <c r="AZ27" s="75">
        <v>8</v>
      </c>
      <c r="BA27" s="75">
        <v>9</v>
      </c>
    </row>
    <row r="28" spans="2:62" s="8" customFormat="1" ht="19.899999999999999" customHeight="1">
      <c r="B28" s="23"/>
      <c r="C28" s="180"/>
      <c r="D28" s="172"/>
      <c r="E28" s="23"/>
      <c r="F28" s="171"/>
      <c r="G28" s="172"/>
      <c r="H28" s="171"/>
      <c r="I28" s="172"/>
      <c r="J28" s="180" t="s">
        <v>29</v>
      </c>
      <c r="K28" s="446" t="s">
        <v>4072</v>
      </c>
      <c r="L28" s="447"/>
      <c r="M28" s="447"/>
      <c r="N28" s="448"/>
      <c r="O28" s="180" t="s">
        <v>29</v>
      </c>
      <c r="P28" s="180" t="s">
        <v>29</v>
      </c>
      <c r="Q28" s="171"/>
      <c r="S28" s="1"/>
      <c r="AB28" s="122"/>
      <c r="AC28" s="196" t="s">
        <v>4262</v>
      </c>
      <c r="AD28" s="1"/>
      <c r="AG28" s="1"/>
      <c r="AH28" s="196" t="s">
        <v>3928</v>
      </c>
      <c r="AI28" s="196" t="s">
        <v>3930</v>
      </c>
      <c r="AJ28" s="196" t="s">
        <v>3928</v>
      </c>
      <c r="AK28" s="196" t="s">
        <v>3928</v>
      </c>
      <c r="AL28" s="196" t="s">
        <v>3930</v>
      </c>
      <c r="AM28" s="196" t="s">
        <v>3930</v>
      </c>
      <c r="AN28" s="196"/>
      <c r="AO28" s="196"/>
      <c r="AP28" s="196" t="s">
        <v>3914</v>
      </c>
      <c r="AQ28" s="196" t="s">
        <v>3928</v>
      </c>
    </row>
    <row r="29" spans="2:62" ht="45" customHeight="1">
      <c r="B29" s="282" t="s">
        <v>4289</v>
      </c>
      <c r="C29" s="219"/>
      <c r="D29" s="449"/>
      <c r="E29" s="450"/>
      <c r="F29" s="449"/>
      <c r="G29" s="450"/>
      <c r="H29" s="449"/>
      <c r="I29" s="450"/>
      <c r="J29" s="215"/>
      <c r="K29" s="449"/>
      <c r="L29" s="459"/>
      <c r="M29" s="459"/>
      <c r="N29" s="459"/>
      <c r="O29" s="425" t="str">
        <f>IF(C29="直接入力",IF(J29="","",AC29),IF(D29="","",IFERROR(VLOOKUP(AF29,窓のプルダウン_非表示!$Q$7:$R$61,2,FALSE),"エラー！選択肢チェック参照")))</f>
        <v/>
      </c>
      <c r="P29" s="416" t="str">
        <f>IFERROR(IF(C29="直接入力",IF(J29="","","≦"&amp;" "&amp;AH29),IF(ISNUMBER(O29),"≦"&amp;" "&amp;AH29,"")),"エラー")</f>
        <v/>
      </c>
      <c r="Q29" s="320" t="str">
        <f>IF(C29="","",IF(OR($I$1=5,$I$1=6,$I$1=7,$I$1=8),"地域に対し入力するシートが違います",IF(C29="直接入力",AJ29,IF(C29="建具とガラスの組み合わせから入力",AK29,""))))</f>
        <v/>
      </c>
      <c r="AA29" s="8"/>
      <c r="AB29" s="122"/>
      <c r="AC29" s="211" t="str">
        <f>IF(J29="","",ROUND(J29,1))</f>
        <v/>
      </c>
      <c r="AD29" s="122"/>
      <c r="AE29" s="74" t="str">
        <f>D29&amp;"_"&amp;F29</f>
        <v>_</v>
      </c>
      <c r="AF29" s="74" t="str">
        <f>D29&amp;"_"&amp;F29&amp;"_"&amp;H29</f>
        <v>__</v>
      </c>
      <c r="AG29" s="74">
        <f>F29</f>
        <v>0</v>
      </c>
      <c r="AH29" s="74" t="e">
        <f>VLOOKUP($I$1,'仕様基準-省エネ基準_非表示'!$L$6:$O$9,3,FALSE)</f>
        <v>#N/A</v>
      </c>
      <c r="AJ29" s="196" t="str">
        <f>IF(J29="","",IF(AC29&lt;=AH29,"適合","不適"))</f>
        <v/>
      </c>
      <c r="AK29" s="196" t="str">
        <f>IF(P29="","",IF(O29&lt;=AH29,"適合","不適"))</f>
        <v/>
      </c>
      <c r="AL29" s="196"/>
      <c r="AM29" s="121"/>
      <c r="AN29" s="121"/>
      <c r="AO29" s="121"/>
      <c r="AP29" s="422">
        <f>IF(OR(Q29="適合",Q29="該当窓なし"),0,1)</f>
        <v>1</v>
      </c>
      <c r="AQ29" s="304" t="str">
        <f>IF(C29="","",IF(C29="直接入力",J29,O29))</f>
        <v/>
      </c>
      <c r="AS29" s="374" t="str">
        <f>IF(C29="","－",IF(C29="直接入力","－",D29))</f>
        <v>－</v>
      </c>
      <c r="AT29" s="374" t="str">
        <f>IF(C29="","－",IF(C29="直接入力","－",F29))</f>
        <v>－</v>
      </c>
      <c r="AU29" s="374" t="str">
        <f>IF(C29="","－",IF(C29="直接入力","－",H29))</f>
        <v>－</v>
      </c>
      <c r="AV29" s="375"/>
      <c r="AW29" s="374" t="str">
        <f>IF(C29="","－",O29)</f>
        <v>－</v>
      </c>
      <c r="AX29" s="374" t="str">
        <f>IF(C29="","－",AH29)</f>
        <v>－</v>
      </c>
      <c r="AY29" s="375"/>
      <c r="AZ29" s="375"/>
      <c r="BA29" s="374" t="str">
        <f>IF(C29="","－",IF(K29="","－",K29))</f>
        <v>－</v>
      </c>
    </row>
    <row r="30" spans="2:62" ht="15.75" customHeight="1">
      <c r="B30" s="154" t="s">
        <v>4290</v>
      </c>
      <c r="C30" s="121"/>
      <c r="D30" s="121"/>
      <c r="E30" s="121"/>
      <c r="F30" s="121"/>
      <c r="G30" s="121"/>
      <c r="H30" s="121"/>
      <c r="I30" s="121"/>
      <c r="J30" s="121"/>
      <c r="K30" s="121"/>
      <c r="L30" s="121"/>
      <c r="M30" s="121"/>
      <c r="N30" s="121"/>
      <c r="O30" s="121"/>
      <c r="T30" s="316"/>
      <c r="U30" s="276"/>
      <c r="V30" s="277"/>
      <c r="W30" s="276"/>
      <c r="X30" s="121"/>
      <c r="Y30" s="8"/>
      <c r="Z30" s="8"/>
      <c r="AA30" s="8"/>
      <c r="AB30" s="169"/>
      <c r="AC30" s="169"/>
      <c r="AE30" s="74"/>
      <c r="AF30" s="74"/>
      <c r="AG30" s="74"/>
      <c r="AH30" s="74"/>
      <c r="AI30" s="74"/>
      <c r="AJ30" s="196"/>
      <c r="AK30" s="196"/>
      <c r="AL30" s="196"/>
      <c r="AM30" s="196"/>
      <c r="AN30" s="196"/>
      <c r="AO30" s="196"/>
      <c r="AP30" s="213"/>
    </row>
    <row r="31" spans="2:62">
      <c r="O31" s="122"/>
      <c r="AD31" s="8"/>
    </row>
    <row r="32" spans="2:62" ht="226.5" customHeight="1">
      <c r="X32" s="8"/>
      <c r="Y32" s="8"/>
      <c r="Z32" s="8"/>
      <c r="AA32" s="8"/>
      <c r="AD32" s="8"/>
    </row>
    <row r="33" spans="2:50" ht="21" customHeight="1">
      <c r="C33" s="225"/>
      <c r="D33" s="464"/>
      <c r="E33" s="464"/>
      <c r="F33" s="464"/>
      <c r="G33" s="464"/>
      <c r="H33" s="464"/>
      <c r="I33" s="464"/>
      <c r="J33" s="227"/>
      <c r="K33" s="465"/>
      <c r="L33" s="465"/>
      <c r="M33" s="465"/>
      <c r="N33" s="465"/>
      <c r="O33" s="226" t="s">
        <v>3975</v>
      </c>
      <c r="P33" s="226" t="s">
        <v>3975</v>
      </c>
      <c r="Q33" s="226" t="s">
        <v>3975</v>
      </c>
      <c r="AJ33" s="8"/>
    </row>
    <row r="34" spans="2:50" ht="18" customHeight="1">
      <c r="B34" s="174"/>
      <c r="C34" s="176" t="s">
        <v>480</v>
      </c>
      <c r="D34" s="460" t="s">
        <v>481</v>
      </c>
      <c r="E34" s="460"/>
      <c r="F34" s="460" t="s">
        <v>482</v>
      </c>
      <c r="G34" s="460"/>
      <c r="H34" s="460" t="s">
        <v>483</v>
      </c>
      <c r="I34" s="460"/>
      <c r="J34" s="176" t="s">
        <v>484</v>
      </c>
      <c r="K34" s="461" t="s">
        <v>485</v>
      </c>
      <c r="L34" s="462"/>
      <c r="M34" s="462"/>
      <c r="N34" s="463"/>
      <c r="O34" s="177"/>
      <c r="P34" s="251"/>
      <c r="Q34" s="321"/>
      <c r="AJ34" s="8"/>
    </row>
    <row r="35" spans="2:50" s="8" customFormat="1" ht="30" customHeight="1">
      <c r="B35" s="5" t="s">
        <v>2</v>
      </c>
      <c r="C35" s="170" t="s">
        <v>3972</v>
      </c>
      <c r="D35" s="453" t="s">
        <v>235</v>
      </c>
      <c r="E35" s="454"/>
      <c r="F35" s="453" t="s">
        <v>236</v>
      </c>
      <c r="G35" s="454"/>
      <c r="H35" s="453" t="s">
        <v>454</v>
      </c>
      <c r="I35" s="455"/>
      <c r="J35" s="9" t="s">
        <v>3907</v>
      </c>
      <c r="K35" s="456" t="s">
        <v>4006</v>
      </c>
      <c r="L35" s="455"/>
      <c r="M35" s="455"/>
      <c r="N35" s="454"/>
      <c r="O35" s="457" t="s">
        <v>3987</v>
      </c>
      <c r="P35" s="458"/>
      <c r="Q35" s="322" t="s">
        <v>4</v>
      </c>
      <c r="R35" s="1"/>
      <c r="S35" s="1"/>
      <c r="T35" s="1"/>
      <c r="AA35" s="1"/>
      <c r="AB35" s="1"/>
      <c r="AC35" s="1"/>
      <c r="AD35" s="1"/>
      <c r="AG35" s="1"/>
      <c r="AH35" s="1"/>
      <c r="AI35" s="196" t="s">
        <v>3928</v>
      </c>
      <c r="AJ35" s="1"/>
      <c r="AS35" s="74" t="s">
        <v>235</v>
      </c>
      <c r="AT35" s="74" t="s">
        <v>4038</v>
      </c>
      <c r="AU35" s="74" t="s">
        <v>4049</v>
      </c>
      <c r="AV35" s="74" t="s">
        <v>4034</v>
      </c>
      <c r="AW35" s="74" t="s">
        <v>4035</v>
      </c>
      <c r="AX35" s="74" t="s">
        <v>232</v>
      </c>
    </row>
    <row r="36" spans="2:50" s="8" customFormat="1" ht="18" customHeight="1">
      <c r="B36" s="5"/>
      <c r="C36" s="170"/>
      <c r="D36" s="7"/>
      <c r="E36" s="5"/>
      <c r="F36" s="7"/>
      <c r="G36" s="250"/>
      <c r="H36" s="7"/>
      <c r="I36" s="250"/>
      <c r="J36" s="9"/>
      <c r="K36" s="456" t="s">
        <v>4005</v>
      </c>
      <c r="L36" s="467"/>
      <c r="M36" s="467"/>
      <c r="N36" s="468"/>
      <c r="O36" s="9" t="s">
        <v>498</v>
      </c>
      <c r="P36" s="9" t="s">
        <v>3986</v>
      </c>
      <c r="Q36" s="322"/>
      <c r="R36" s="1"/>
      <c r="S36" s="1"/>
      <c r="T36" s="1"/>
      <c r="AA36" s="1"/>
      <c r="AB36" s="1"/>
      <c r="AC36" s="196" t="s">
        <v>3955</v>
      </c>
      <c r="AD36" s="1"/>
      <c r="AG36" s="1"/>
      <c r="AH36" s="1"/>
      <c r="AI36" s="196"/>
      <c r="AJ36" s="1"/>
      <c r="AQ36" s="196" t="s">
        <v>4048</v>
      </c>
      <c r="AS36" s="75">
        <v>1</v>
      </c>
      <c r="AT36" s="75">
        <v>2</v>
      </c>
      <c r="AU36" s="75">
        <v>3</v>
      </c>
      <c r="AV36" s="75">
        <v>4</v>
      </c>
      <c r="AW36" s="75">
        <v>5</v>
      </c>
      <c r="AX36" s="75">
        <v>6</v>
      </c>
    </row>
    <row r="37" spans="2:50" s="8" customFormat="1" ht="19.899999999999999" customHeight="1">
      <c r="B37" s="23"/>
      <c r="C37" s="180"/>
      <c r="D37" s="172"/>
      <c r="E37" s="23"/>
      <c r="F37" s="178"/>
      <c r="G37" s="181"/>
      <c r="H37" s="171"/>
      <c r="I37" s="172"/>
      <c r="J37" s="180" t="s">
        <v>29</v>
      </c>
      <c r="K37" s="446" t="s">
        <v>4072</v>
      </c>
      <c r="L37" s="447"/>
      <c r="M37" s="447"/>
      <c r="N37" s="448"/>
      <c r="O37" s="180" t="s">
        <v>29</v>
      </c>
      <c r="P37" s="180" t="s">
        <v>29</v>
      </c>
      <c r="Q37" s="323"/>
      <c r="R37" s="1"/>
      <c r="S37" s="1"/>
      <c r="T37" s="1"/>
      <c r="AA37" s="1"/>
      <c r="AB37" s="1"/>
      <c r="AC37" s="196" t="s">
        <v>4262</v>
      </c>
      <c r="AD37" s="1"/>
      <c r="AE37" s="1"/>
      <c r="AF37" s="1"/>
      <c r="AG37" s="1"/>
      <c r="AH37" s="196" t="s">
        <v>497</v>
      </c>
      <c r="AI37" s="196" t="s">
        <v>3955</v>
      </c>
      <c r="AJ37" s="196" t="s">
        <v>3956</v>
      </c>
      <c r="AP37" s="196" t="s">
        <v>3914</v>
      </c>
      <c r="AQ37" s="196" t="s">
        <v>3928</v>
      </c>
    </row>
    <row r="38" spans="2:50" ht="45" customHeight="1">
      <c r="B38" s="191" t="s">
        <v>19</v>
      </c>
      <c r="C38" s="219"/>
      <c r="D38" s="449"/>
      <c r="E38" s="450"/>
      <c r="F38" s="449"/>
      <c r="G38" s="450"/>
      <c r="H38" s="449"/>
      <c r="I38" s="450"/>
      <c r="J38" s="215"/>
      <c r="K38" s="451"/>
      <c r="L38" s="452"/>
      <c r="M38" s="452"/>
      <c r="N38" s="452"/>
      <c r="O38" s="426" t="str">
        <f>IF(C38="直接入力",IF(J38="","",AC38),IF(D38="","",IFERROR(VLOOKUP(AF38,ドアのプルダウン_非表示!$I$4:$J$58,2,FALSE),"エラー！選択肢チェック参照")))</f>
        <v/>
      </c>
      <c r="P38" s="416" t="str">
        <f>IFERROR(IF(C38="直接入力",IF(J38="","","≦"&amp;" "&amp;AH38),IF(ISNUMBER(O38),"≦"&amp;" "&amp;AH38,"")),"エラー")</f>
        <v/>
      </c>
      <c r="Q38" s="318" t="str">
        <f>IF(C38="","",IF(OR($I$1=5,$I$1=6,$I$1=7,$I$1=8),"地域に対し入力するシートが違います",IF(C38="直接入力",AI38,IF(C38="枠と戸の組み合わせから入力",AJ38,""))))</f>
        <v/>
      </c>
      <c r="AC38" s="211" t="str">
        <f>IF(J38="","",ROUND(J38,1))</f>
        <v/>
      </c>
      <c r="AE38" s="74" t="str">
        <f>D38&amp;"_"&amp;F38</f>
        <v>_</v>
      </c>
      <c r="AF38" s="74" t="str">
        <f>D38&amp;"_"&amp;F38&amp;"_"&amp;H38</f>
        <v>__</v>
      </c>
      <c r="AH38" s="74" t="e">
        <f>VLOOKUP($I$1,'仕様基準-省エネ基準_非表示'!Q6:R9,2,FALSE)</f>
        <v>#N/A</v>
      </c>
      <c r="AI38" s="196" t="str">
        <f>IF(J38="","",IF(AC38&lt;=AH38,"適合","不適"))</f>
        <v/>
      </c>
      <c r="AJ38" s="196" t="str">
        <f>IF(P38="","",IF(O38&lt;=AH38,"適合","不適"))</f>
        <v/>
      </c>
      <c r="AP38" s="422">
        <f>IF(Q38="適合",0,1)</f>
        <v>1</v>
      </c>
      <c r="AQ38" s="213" t="str">
        <f>IF(C38="","",IF(C38="直接入力",J38,O38))</f>
        <v/>
      </c>
      <c r="AS38" s="374" t="str">
        <f>IF(C38="","－",IF(C38="直接入力","－",D38))</f>
        <v>－</v>
      </c>
      <c r="AT38" s="374" t="str">
        <f>IF(C38="","－",IF(C38="直接入力","－",F38))</f>
        <v>－</v>
      </c>
      <c r="AU38" s="374" t="str">
        <f>IF(C38="","－",IF(C38="直接入力","－",H38))</f>
        <v>－</v>
      </c>
      <c r="AV38" s="374" t="str">
        <f>IF(C38="","－",O38)</f>
        <v>－</v>
      </c>
      <c r="AW38" s="374" t="str">
        <f>IF(C38="","－",AH38)</f>
        <v>－</v>
      </c>
      <c r="AX38" s="374" t="str">
        <f>IF(C38="","－",IF(K38="","－",K38))</f>
        <v>－</v>
      </c>
    </row>
    <row r="39" spans="2:50">
      <c r="AC39" s="8"/>
    </row>
    <row r="41" spans="2:50" ht="126.75" customHeight="1">
      <c r="AP41" s="196" t="s">
        <v>3914</v>
      </c>
    </row>
    <row r="42" spans="2:50" ht="30" customHeight="1">
      <c r="B42" s="235"/>
      <c r="C42" s="14"/>
      <c r="D42" s="18" t="s">
        <v>4073</v>
      </c>
      <c r="E42" s="18"/>
      <c r="F42" s="18" t="s">
        <v>22</v>
      </c>
      <c r="G42" s="18"/>
      <c r="H42" s="18"/>
      <c r="I42" s="18"/>
      <c r="J42" s="18"/>
      <c r="K42" s="18"/>
      <c r="L42" s="18"/>
      <c r="M42" s="18"/>
      <c r="N42" s="18"/>
      <c r="AE42" s="241" t="b">
        <v>0</v>
      </c>
      <c r="AI42" s="247" t="s">
        <v>3979</v>
      </c>
      <c r="AJ42" s="222">
        <f>N(AE42)</f>
        <v>0</v>
      </c>
      <c r="AM42" s="196" t="s">
        <v>4050</v>
      </c>
      <c r="AN42" s="360" t="str" cm="1">
        <f t="array" ref="AN42">IFERROR(_xlfn.IFS(AJ42=1,"住戸全体を暖房",AJ43=1,D43,AJ60=1,D60),"")</f>
        <v/>
      </c>
      <c r="AO42" s="365" cm="1">
        <f t="array" ref="AO42">IFERROR(_xlfn.IFS(AJ42=1,0,AJ43=1,IF(AND(AO45=0,AO47=0),0,1),AJ60=1,0),1)</f>
        <v>1</v>
      </c>
      <c r="AP42" s="423">
        <f>AO42+AO62++AO70+AO75+AO81</f>
        <v>5</v>
      </c>
      <c r="AS42" s="75" t="s">
        <v>44</v>
      </c>
      <c r="AT42" s="75" t="s">
        <v>45</v>
      </c>
      <c r="AU42" s="371" t="str">
        <f>AN42</f>
        <v/>
      </c>
    </row>
    <row r="43" spans="2:50" ht="30" customHeight="1">
      <c r="B43" s="236"/>
      <c r="C43" s="15"/>
      <c r="D43" s="232" t="s">
        <v>4013</v>
      </c>
      <c r="E43" s="232"/>
      <c r="F43" s="232"/>
      <c r="G43" s="232"/>
      <c r="H43" s="232"/>
      <c r="I43" s="232"/>
      <c r="J43" s="232"/>
      <c r="K43" s="232"/>
      <c r="L43" s="18"/>
      <c r="M43" s="18"/>
      <c r="N43" s="18"/>
      <c r="AE43" s="223" t="b">
        <v>0</v>
      </c>
      <c r="AI43" s="193"/>
      <c r="AJ43" s="223">
        <f>N(AE43)</f>
        <v>0</v>
      </c>
      <c r="AM43" s="196" t="s">
        <v>4087</v>
      </c>
      <c r="AN43" s="360" t="str" cm="1">
        <f t="array" ref="AN43">IFERROR(_xlfn.IFS(AJ42=1,F42,AJ43=1,AO43&amp;CHAR(10)&amp;AP43,AJ60=1,"－"),"")</f>
        <v/>
      </c>
      <c r="AO43" s="74" t="str">
        <f>AQ43&amp;AR43</f>
        <v>【主たる居室】</v>
      </c>
      <c r="AP43" s="74" t="str">
        <f>AQ44&amp;AR44</f>
        <v>【その他の居室】</v>
      </c>
      <c r="AQ43" s="74" t="s">
        <v>4083</v>
      </c>
      <c r="AR43" s="74" t="str" cm="1">
        <f t="array" ref="AR43">IFERROR(_xlfn.IFS(AJ44=1,_xlfn.IFS(AJ46=1,AK46,AJ47=1,AK47,AJ48=1,AK48),AJ49=1,G49,AJ50=1,G50,AJ51=1,G51),"")</f>
        <v/>
      </c>
      <c r="AS43" s="75"/>
      <c r="AT43" s="196" t="s">
        <v>4087</v>
      </c>
      <c r="AU43" s="371" t="str">
        <f>AN43</f>
        <v/>
      </c>
    </row>
    <row r="44" spans="2:50" s="13" customFormat="1" ht="30" customHeight="1">
      <c r="B44" s="236"/>
      <c r="C44" s="229"/>
      <c r="D44" s="232"/>
      <c r="E44" s="16" t="s">
        <v>4083</v>
      </c>
      <c r="F44" s="364"/>
      <c r="G44" s="16" t="s">
        <v>21</v>
      </c>
      <c r="H44" s="16"/>
      <c r="I44" s="16"/>
      <c r="J44" s="16"/>
      <c r="K44" s="16"/>
      <c r="L44" s="16"/>
      <c r="M44" s="16"/>
      <c r="N44" s="16"/>
      <c r="AC44" s="230"/>
      <c r="AE44" s="231"/>
      <c r="AF44" s="222" t="b">
        <v>0</v>
      </c>
      <c r="AG44" s="1"/>
      <c r="AH44" s="1"/>
      <c r="AI44" s="248"/>
      <c r="AJ44" s="223">
        <f>N(AF44)</f>
        <v>0</v>
      </c>
      <c r="AL44" s="1"/>
      <c r="AQ44" s="74" t="s">
        <v>4084</v>
      </c>
      <c r="AR44" s="74" t="str" cm="1">
        <f t="array" ref="AR44">IFERROR(_xlfn.IFS(AJ52=1,_xlfn.IFS(AJ54=1,AK54,AJ55=1,AK55,AJ56=1,AK56),AJ57=1,G57,AJ58=1,G58,AJ59=1,G59),"")</f>
        <v/>
      </c>
      <c r="AS44" s="75"/>
      <c r="AT44" s="75" t="s">
        <v>3991</v>
      </c>
      <c r="AU44" s="371" t="str">
        <f>IF(D61="",IF(OR(AJ60=1,AND(AJ51=1,AJ59=1)),"－",""),D61)</f>
        <v/>
      </c>
    </row>
    <row r="45" spans="2:50" s="13" customFormat="1" ht="30" customHeight="1">
      <c r="B45" s="236"/>
      <c r="C45" s="229"/>
      <c r="D45" s="232"/>
      <c r="E45" s="232"/>
      <c r="G45" s="232" t="s">
        <v>24</v>
      </c>
      <c r="H45" s="232"/>
      <c r="I45" s="232"/>
      <c r="J45" s="232"/>
      <c r="K45" s="232"/>
      <c r="L45" s="20"/>
      <c r="M45" s="20"/>
      <c r="N45" s="20"/>
      <c r="AC45" s="230"/>
      <c r="AE45" s="231"/>
      <c r="AF45" s="240"/>
      <c r="AG45" s="1"/>
      <c r="AH45" s="1"/>
      <c r="AI45" s="248"/>
      <c r="AJ45" s="231"/>
      <c r="AK45" s="300"/>
      <c r="AL45" s="1"/>
      <c r="AN45" s="74" t="s">
        <v>4083</v>
      </c>
      <c r="AO45" s="213" cm="1">
        <f t="array" ref="AO45">IFERROR(_xlfn.IFS(AJ44=1,IF(AO46=0,0,1),AJ49=1,0,AJ50=1,0,AJ51=1,0),1)</f>
        <v>1</v>
      </c>
      <c r="AS45" s="75" t="s">
        <v>46</v>
      </c>
      <c r="AT45" s="75" t="s">
        <v>4042</v>
      </c>
      <c r="AU45" s="371" t="str">
        <f>AN62</f>
        <v/>
      </c>
    </row>
    <row r="46" spans="2:50" s="13" customFormat="1" ht="30" customHeight="1">
      <c r="B46" s="234"/>
      <c r="C46" s="229"/>
      <c r="D46" s="232"/>
      <c r="E46" s="232"/>
      <c r="G46" s="232"/>
      <c r="H46" s="18" t="s">
        <v>36</v>
      </c>
      <c r="I46" s="18"/>
      <c r="J46" s="18"/>
      <c r="K46" s="18"/>
      <c r="L46" s="18"/>
      <c r="M46" s="18"/>
      <c r="N46" s="18"/>
      <c r="AE46" s="231"/>
      <c r="AF46" s="240"/>
      <c r="AG46" s="241" t="b">
        <v>0</v>
      </c>
      <c r="AH46" s="1"/>
      <c r="AI46" s="248"/>
      <c r="AJ46" s="223">
        <f>N(AG46)</f>
        <v>0</v>
      </c>
      <c r="AK46" s="357" t="s">
        <v>4088</v>
      </c>
      <c r="AO46" s="213">
        <f>IF(OR(AJ46=1,AJ47=1,AJ48=1),0,1)</f>
        <v>1</v>
      </c>
      <c r="AS46" s="75"/>
      <c r="AT46" s="196" t="s">
        <v>4087</v>
      </c>
      <c r="AU46" s="371" t="str">
        <f>AN63</f>
        <v/>
      </c>
    </row>
    <row r="47" spans="2:50" s="13" customFormat="1" ht="30" customHeight="1">
      <c r="B47" s="238"/>
      <c r="C47" s="229"/>
      <c r="D47" s="232"/>
      <c r="E47" s="232"/>
      <c r="G47" s="232"/>
      <c r="H47" s="18" t="s">
        <v>37</v>
      </c>
      <c r="I47" s="18"/>
      <c r="J47" s="18"/>
      <c r="K47" s="18"/>
      <c r="L47" s="18"/>
      <c r="M47" s="18"/>
      <c r="N47" s="18"/>
      <c r="AE47" s="231"/>
      <c r="AF47" s="240"/>
      <c r="AG47" s="242" t="b">
        <v>0</v>
      </c>
      <c r="AH47" s="1"/>
      <c r="AI47" s="248"/>
      <c r="AJ47" s="223">
        <f>N(AG47)</f>
        <v>0</v>
      </c>
      <c r="AK47" s="357" t="s">
        <v>4089</v>
      </c>
      <c r="AN47" s="74" t="s">
        <v>4084</v>
      </c>
      <c r="AO47" s="213" cm="1">
        <f t="array" ref="AO47">IFERROR(_xlfn.IFS(AJ52=1,IF(AO48=0,0,1),AJ57=1,0,AJ58=1,0,AJ59=1,0),1)</f>
        <v>1</v>
      </c>
      <c r="AS47" s="75"/>
      <c r="AT47" s="75" t="s">
        <v>3991</v>
      </c>
      <c r="AU47" s="371" t="str">
        <f>IF(D69="",IF(OR(AJ68=1,AND(AJ65=1,AJ67=1)),"－",""),D69)</f>
        <v/>
      </c>
    </row>
    <row r="48" spans="2:50" s="13" customFormat="1" ht="30" customHeight="1">
      <c r="B48" s="236"/>
      <c r="C48" s="229"/>
      <c r="D48" s="232"/>
      <c r="E48" s="232"/>
      <c r="G48" s="232"/>
      <c r="H48" s="16" t="s">
        <v>23</v>
      </c>
      <c r="I48" s="16"/>
      <c r="J48" s="16"/>
      <c r="K48" s="16"/>
      <c r="L48" s="18"/>
      <c r="M48" s="18"/>
      <c r="N48" s="18"/>
      <c r="AE48" s="231"/>
      <c r="AF48" s="240"/>
      <c r="AG48" s="243" t="b">
        <v>0</v>
      </c>
      <c r="AH48" s="1"/>
      <c r="AI48" s="248"/>
      <c r="AJ48" s="223">
        <f>N(AG48)</f>
        <v>0</v>
      </c>
      <c r="AK48" s="357" t="s">
        <v>4090</v>
      </c>
      <c r="AO48" s="213">
        <f>IF(OR(AJ54=1,AJ55=1,AJ56=1),0,1)</f>
        <v>1</v>
      </c>
      <c r="AS48" s="75" t="s">
        <v>47</v>
      </c>
      <c r="AT48" s="75" t="s">
        <v>48</v>
      </c>
      <c r="AU48" s="381" t="str">
        <f>AN70</f>
        <v/>
      </c>
    </row>
    <row r="49" spans="2:47" s="13" customFormat="1" ht="30" customHeight="1">
      <c r="B49" s="236"/>
      <c r="C49" s="229"/>
      <c r="D49" s="232"/>
      <c r="E49" s="232"/>
      <c r="G49" s="18" t="s">
        <v>3968</v>
      </c>
      <c r="H49" s="18"/>
      <c r="I49" s="18"/>
      <c r="J49" s="18"/>
      <c r="K49" s="18"/>
      <c r="L49" s="18"/>
      <c r="M49" s="18"/>
      <c r="N49" s="18"/>
      <c r="AE49" s="231"/>
      <c r="AF49" s="242" t="b">
        <v>0</v>
      </c>
      <c r="AG49" s="1"/>
      <c r="AH49" s="1"/>
      <c r="AI49" s="248"/>
      <c r="AJ49" s="223">
        <f>N(AF49)</f>
        <v>0</v>
      </c>
      <c r="AS49" s="75"/>
      <c r="AT49" s="75" t="s">
        <v>3991</v>
      </c>
      <c r="AU49" s="371" t="str">
        <f>IF(D74="","",D74)</f>
        <v/>
      </c>
    </row>
    <row r="50" spans="2:47" s="13" customFormat="1" ht="30" customHeight="1">
      <c r="B50" s="236"/>
      <c r="C50" s="229"/>
      <c r="D50" s="232"/>
      <c r="E50" s="232"/>
      <c r="G50" s="18" t="s">
        <v>4014</v>
      </c>
      <c r="H50" s="20"/>
      <c r="I50" s="20"/>
      <c r="J50" s="20"/>
      <c r="K50" s="20"/>
      <c r="L50" s="18"/>
      <c r="M50" s="18"/>
      <c r="N50" s="18"/>
      <c r="AE50" s="231"/>
      <c r="AF50" s="242" t="b">
        <v>0</v>
      </c>
      <c r="AG50" s="1"/>
      <c r="AH50" s="1"/>
      <c r="AI50" s="248"/>
      <c r="AJ50" s="223">
        <f>N(AF50)</f>
        <v>0</v>
      </c>
      <c r="AL50" s="1"/>
      <c r="AS50" s="75" t="s">
        <v>49</v>
      </c>
      <c r="AT50" s="75" t="s">
        <v>50</v>
      </c>
      <c r="AU50" s="381" t="str">
        <f>AN75</f>
        <v/>
      </c>
    </row>
    <row r="51" spans="2:47" s="13" customFormat="1" ht="30" customHeight="1">
      <c r="B51" s="234" t="s">
        <v>3977</v>
      </c>
      <c r="C51" s="229"/>
      <c r="D51" s="232"/>
      <c r="E51" s="232"/>
      <c r="F51" s="362"/>
      <c r="G51" s="212" t="s">
        <v>4283</v>
      </c>
      <c r="H51" s="20"/>
      <c r="I51" s="20"/>
      <c r="J51" s="20"/>
      <c r="K51" s="20"/>
      <c r="L51" s="18"/>
      <c r="M51" s="18"/>
      <c r="N51" s="18"/>
      <c r="AE51" s="231"/>
      <c r="AF51" s="243" t="b">
        <v>0</v>
      </c>
      <c r="AG51" s="1"/>
      <c r="AH51" s="1"/>
      <c r="AI51" s="248"/>
      <c r="AJ51" s="223">
        <f>N(AF51)</f>
        <v>0</v>
      </c>
      <c r="AK51" s="357" t="s">
        <v>4164</v>
      </c>
      <c r="AL51" s="1"/>
      <c r="AS51" s="75"/>
      <c r="AT51" s="75" t="s">
        <v>3991</v>
      </c>
      <c r="AU51" s="371" t="str">
        <f>IF(D80="",IF(AJ79=1,"－",""),D80)</f>
        <v/>
      </c>
    </row>
    <row r="52" spans="2:47" s="13" customFormat="1" ht="30" customHeight="1">
      <c r="B52" s="238" t="s">
        <v>27</v>
      </c>
      <c r="C52" s="229"/>
      <c r="D52" s="232"/>
      <c r="E52" s="16" t="s">
        <v>4084</v>
      </c>
      <c r="F52" s="364"/>
      <c r="G52" s="16" t="s">
        <v>21</v>
      </c>
      <c r="H52" s="16"/>
      <c r="I52" s="16"/>
      <c r="J52" s="16"/>
      <c r="K52" s="16"/>
      <c r="L52" s="16"/>
      <c r="M52" s="16"/>
      <c r="N52" s="16"/>
      <c r="AC52" s="230"/>
      <c r="AE52" s="231"/>
      <c r="AF52" s="222" t="b">
        <v>0</v>
      </c>
      <c r="AG52" s="1"/>
      <c r="AH52" s="1"/>
      <c r="AI52" s="248"/>
      <c r="AJ52" s="223">
        <f>N(AF52)</f>
        <v>0</v>
      </c>
      <c r="AL52" s="1"/>
      <c r="AS52" s="75" t="s">
        <v>3967</v>
      </c>
      <c r="AT52" s="75" t="s">
        <v>51</v>
      </c>
      <c r="AU52" s="381" t="str">
        <f>AN81</f>
        <v/>
      </c>
    </row>
    <row r="53" spans="2:47" s="13" customFormat="1" ht="30" customHeight="1">
      <c r="B53" s="236"/>
      <c r="C53" s="229"/>
      <c r="D53" s="232"/>
      <c r="E53" s="232"/>
      <c r="G53" s="232" t="s">
        <v>24</v>
      </c>
      <c r="H53" s="232"/>
      <c r="I53" s="232"/>
      <c r="J53" s="232"/>
      <c r="K53" s="232"/>
      <c r="L53" s="20"/>
      <c r="M53" s="20"/>
      <c r="N53" s="20"/>
      <c r="AC53" s="230"/>
      <c r="AE53" s="231"/>
      <c r="AF53" s="240"/>
      <c r="AG53" s="1"/>
      <c r="AH53" s="1"/>
      <c r="AI53" s="248"/>
      <c r="AJ53" s="231"/>
      <c r="AK53" s="300"/>
      <c r="AL53" s="1"/>
      <c r="AS53" s="75"/>
      <c r="AT53" s="75" t="s">
        <v>3991</v>
      </c>
      <c r="AU53" s="371" t="str">
        <f>IF(D83="",IF(AJ82=1,"－",""),D83)</f>
        <v/>
      </c>
    </row>
    <row r="54" spans="2:47" s="13" customFormat="1" ht="30" customHeight="1">
      <c r="B54" s="234"/>
      <c r="C54" s="229"/>
      <c r="D54" s="232"/>
      <c r="E54" s="232"/>
      <c r="G54" s="232"/>
      <c r="H54" s="18" t="s">
        <v>36</v>
      </c>
      <c r="I54" s="18"/>
      <c r="J54" s="18"/>
      <c r="K54" s="18"/>
      <c r="L54" s="18"/>
      <c r="M54" s="18"/>
      <c r="N54" s="18"/>
      <c r="AE54" s="231"/>
      <c r="AF54" s="240"/>
      <c r="AG54" s="241" t="b">
        <v>0</v>
      </c>
      <c r="AH54" s="1"/>
      <c r="AI54" s="248"/>
      <c r="AJ54" s="223">
        <f>N(AG54)</f>
        <v>0</v>
      </c>
      <c r="AK54" s="357" t="s">
        <v>4088</v>
      </c>
    </row>
    <row r="55" spans="2:47" s="13" customFormat="1" ht="30" customHeight="1">
      <c r="B55" s="238"/>
      <c r="C55" s="229"/>
      <c r="D55" s="232"/>
      <c r="E55" s="232"/>
      <c r="G55" s="232"/>
      <c r="H55" s="18" t="s">
        <v>37</v>
      </c>
      <c r="I55" s="18"/>
      <c r="J55" s="18"/>
      <c r="K55" s="18"/>
      <c r="L55" s="18"/>
      <c r="M55" s="18"/>
      <c r="N55" s="18"/>
      <c r="AE55" s="231"/>
      <c r="AF55" s="240"/>
      <c r="AG55" s="242" t="b">
        <v>0</v>
      </c>
      <c r="AH55" s="1"/>
      <c r="AI55" s="248"/>
      <c r="AJ55" s="223">
        <f>N(AG55)</f>
        <v>0</v>
      </c>
      <c r="AK55" s="357" t="s">
        <v>4089</v>
      </c>
    </row>
    <row r="56" spans="2:47" s="13" customFormat="1" ht="30" customHeight="1">
      <c r="B56" s="236"/>
      <c r="C56" s="229"/>
      <c r="D56" s="232"/>
      <c r="E56" s="232"/>
      <c r="G56" s="232"/>
      <c r="H56" s="16" t="s">
        <v>23</v>
      </c>
      <c r="I56" s="16"/>
      <c r="J56" s="16"/>
      <c r="K56" s="16"/>
      <c r="L56" s="18"/>
      <c r="M56" s="18"/>
      <c r="N56" s="18"/>
      <c r="AE56" s="231"/>
      <c r="AF56" s="240"/>
      <c r="AG56" s="243" t="b">
        <v>0</v>
      </c>
      <c r="AH56" s="1"/>
      <c r="AI56" s="248"/>
      <c r="AJ56" s="223">
        <f>N(AG56)</f>
        <v>0</v>
      </c>
      <c r="AK56" s="357" t="s">
        <v>4090</v>
      </c>
    </row>
    <row r="57" spans="2:47" s="13" customFormat="1" ht="30" customHeight="1">
      <c r="B57" s="236"/>
      <c r="C57" s="229"/>
      <c r="D57" s="232"/>
      <c r="E57" s="232"/>
      <c r="G57" s="16" t="s">
        <v>3968</v>
      </c>
      <c r="H57" s="16"/>
      <c r="I57" s="16"/>
      <c r="J57" s="16"/>
      <c r="K57" s="16"/>
      <c r="L57" s="16"/>
      <c r="M57" s="16"/>
      <c r="N57" s="16"/>
      <c r="AE57" s="231"/>
      <c r="AF57" s="242" t="b">
        <v>0</v>
      </c>
      <c r="AG57" s="1"/>
      <c r="AH57" s="1"/>
      <c r="AI57" s="248"/>
      <c r="AJ57" s="223">
        <f>N(AF57)</f>
        <v>0</v>
      </c>
    </row>
    <row r="58" spans="2:47" s="13" customFormat="1" ht="30" customHeight="1">
      <c r="B58" s="236"/>
      <c r="C58" s="229"/>
      <c r="D58" s="232"/>
      <c r="E58" s="232"/>
      <c r="G58" s="16" t="s">
        <v>4095</v>
      </c>
      <c r="H58" s="16"/>
      <c r="I58" s="16"/>
      <c r="J58" s="16"/>
      <c r="K58" s="16"/>
      <c r="L58" s="16"/>
      <c r="M58" s="16"/>
      <c r="N58" s="16"/>
      <c r="AE58" s="231"/>
      <c r="AF58" s="242" t="b">
        <v>0</v>
      </c>
      <c r="AG58" s="1"/>
      <c r="AH58" s="1"/>
      <c r="AI58" s="248"/>
      <c r="AJ58" s="223">
        <f>N(AF58)</f>
        <v>0</v>
      </c>
      <c r="AL58" s="1"/>
    </row>
    <row r="59" spans="2:47" s="13" customFormat="1" ht="30" customHeight="1">
      <c r="B59" s="236"/>
      <c r="C59" s="229"/>
      <c r="D59" s="232"/>
      <c r="E59" s="232"/>
      <c r="F59" s="362"/>
      <c r="G59" s="212" t="s">
        <v>4283</v>
      </c>
      <c r="H59" s="18"/>
      <c r="I59" s="18"/>
      <c r="J59" s="18"/>
      <c r="K59" s="18"/>
      <c r="L59" s="16"/>
      <c r="M59" s="16"/>
      <c r="N59" s="16"/>
      <c r="AE59" s="231"/>
      <c r="AF59" s="243" t="b">
        <v>0</v>
      </c>
      <c r="AG59" s="1"/>
      <c r="AH59" s="1"/>
      <c r="AI59" s="248"/>
      <c r="AJ59" s="223">
        <f>N(AF59)</f>
        <v>0</v>
      </c>
      <c r="AK59" s="357" t="s">
        <v>4164</v>
      </c>
      <c r="AL59" s="1"/>
    </row>
    <row r="60" spans="2:47" ht="30" customHeight="1">
      <c r="B60" s="236"/>
      <c r="C60" s="15"/>
      <c r="D60" s="212" t="s">
        <v>4284</v>
      </c>
      <c r="E60" s="18"/>
      <c r="F60" s="20"/>
      <c r="G60" s="20"/>
      <c r="H60" s="20"/>
      <c r="I60" s="20"/>
      <c r="J60" s="20"/>
      <c r="K60" s="20"/>
      <c r="L60" s="18"/>
      <c r="M60" s="18"/>
      <c r="N60" s="18"/>
      <c r="AE60" s="243" t="b">
        <v>0</v>
      </c>
      <c r="AI60" s="193"/>
      <c r="AJ60" s="224">
        <f>N(AE60)</f>
        <v>0</v>
      </c>
      <c r="AK60" s="357" t="s">
        <v>4164</v>
      </c>
    </row>
    <row r="61" spans="2:47" ht="48" customHeight="1">
      <c r="B61" s="237"/>
      <c r="C61" s="252" t="s">
        <v>232</v>
      </c>
      <c r="D61" s="442"/>
      <c r="E61" s="442"/>
      <c r="F61" s="442"/>
      <c r="G61" s="442"/>
      <c r="H61" s="442"/>
      <c r="I61" s="442"/>
      <c r="J61" s="442"/>
      <c r="K61" s="442"/>
      <c r="L61" s="442"/>
      <c r="M61" s="442"/>
      <c r="N61" s="442"/>
      <c r="AE61" s="242"/>
      <c r="AI61" s="193"/>
      <c r="AJ61" s="223"/>
      <c r="AO61" s="213"/>
    </row>
    <row r="62" spans="2:47" ht="30" customHeight="1">
      <c r="B62" s="235"/>
      <c r="C62" s="14"/>
      <c r="D62" s="18" t="s">
        <v>4074</v>
      </c>
      <c r="E62" s="18"/>
      <c r="F62" s="18" t="s">
        <v>22</v>
      </c>
      <c r="G62" s="18"/>
      <c r="H62" s="18"/>
      <c r="I62" s="18"/>
      <c r="J62" s="18"/>
      <c r="K62" s="18"/>
      <c r="L62" s="18"/>
      <c r="M62" s="18"/>
      <c r="N62" s="18"/>
      <c r="AE62" s="241" t="b">
        <v>0</v>
      </c>
      <c r="AI62" s="247" t="s">
        <v>3980</v>
      </c>
      <c r="AJ62" s="222">
        <f>N(AE62)</f>
        <v>0</v>
      </c>
      <c r="AK62" s="74" t="s">
        <v>4051</v>
      </c>
      <c r="AM62" s="196" t="s">
        <v>4054</v>
      </c>
      <c r="AN62" s="360" t="str" cm="1">
        <f t="array" ref="AN62">IFERROR(_xlfn.IFS(AJ62=1,AK62,AJ63=1,AK63,AJ68=1,D68),"")</f>
        <v/>
      </c>
      <c r="AO62" s="365" cm="1">
        <f t="array" ref="AO62">IFERROR(_xlfn.IFS(AJ62=1,0,AJ63=1,IF(AND(AO63=0,AO64=0),0,1),AJ68=1,0),1)</f>
        <v>1</v>
      </c>
      <c r="AQ62" s="74" t="s">
        <v>4083</v>
      </c>
      <c r="AR62" s="74" t="str" cm="1">
        <f t="array" ref="AR62">IFERROR(IF(AJ63=1,_xlfn.IFS(AJ64=1,G64,AJ65=1,G65),""),"")</f>
        <v/>
      </c>
    </row>
    <row r="63" spans="2:47" ht="30" customHeight="1">
      <c r="B63" s="234" t="s">
        <v>3978</v>
      </c>
      <c r="C63" s="15"/>
      <c r="D63" s="16" t="s">
        <v>4075</v>
      </c>
      <c r="E63" s="18"/>
      <c r="F63" s="18" t="s">
        <v>3968</v>
      </c>
      <c r="G63" s="18"/>
      <c r="H63" s="18"/>
      <c r="I63" s="18"/>
      <c r="J63" s="18"/>
      <c r="K63" s="18"/>
      <c r="L63" s="18"/>
      <c r="M63" s="18"/>
      <c r="N63" s="18"/>
      <c r="AE63" s="223" t="b">
        <v>0</v>
      </c>
      <c r="AI63" s="193"/>
      <c r="AJ63" s="223">
        <f>N(AE63)</f>
        <v>0</v>
      </c>
      <c r="AK63" s="74" t="s">
        <v>4052</v>
      </c>
      <c r="AM63" s="196" t="s">
        <v>4087</v>
      </c>
      <c r="AN63" s="360" t="str" cm="1">
        <f t="array" ref="AN63">IFERROR(_xlfn.IFS(AJ62=1,F62,AJ63=1,AQ62&amp;AR62&amp;CHAR(10)&amp;AQ63&amp;AR63,AJ68=1,"－"),"")</f>
        <v/>
      </c>
      <c r="AO63" s="213">
        <f>IF(OR(AJ64=1,AJ65=1),0,1)</f>
        <v>1</v>
      </c>
      <c r="AQ63" s="74" t="s">
        <v>4084</v>
      </c>
      <c r="AR63" s="74" t="str" cm="1">
        <f t="array" ref="AR63">IFERROR(IF(AJ63=1,_xlfn.IFS(AJ66=1,G66,AJ67=1,G67),""),"")</f>
        <v/>
      </c>
    </row>
    <row r="64" spans="2:47" ht="30" customHeight="1">
      <c r="B64" s="361"/>
      <c r="C64" s="15"/>
      <c r="D64" s="232"/>
      <c r="E64" s="16" t="s">
        <v>4083</v>
      </c>
      <c r="F64" s="232"/>
      <c r="G64" s="18" t="s">
        <v>3968</v>
      </c>
      <c r="H64" s="18"/>
      <c r="I64" s="18"/>
      <c r="J64" s="18"/>
      <c r="K64" s="18"/>
      <c r="L64" s="18"/>
      <c r="M64" s="18"/>
      <c r="N64" s="18"/>
      <c r="AE64" s="223"/>
      <c r="AF64" s="241" t="b">
        <v>0</v>
      </c>
      <c r="AI64" s="193"/>
      <c r="AJ64" s="223">
        <f>N(AF64)</f>
        <v>0</v>
      </c>
      <c r="AK64" s="74"/>
      <c r="AM64" s="196"/>
      <c r="AN64" s="74"/>
      <c r="AO64" s="213">
        <f>IF(OR(AJ66=1,AJ67=1),0,1)</f>
        <v>1</v>
      </c>
    </row>
    <row r="65" spans="2:41" ht="30" customHeight="1">
      <c r="B65" s="361"/>
      <c r="C65" s="15"/>
      <c r="D65" s="232"/>
      <c r="E65" s="232"/>
      <c r="F65" s="20"/>
      <c r="G65" s="18" t="s">
        <v>4094</v>
      </c>
      <c r="H65" s="18"/>
      <c r="I65" s="18"/>
      <c r="J65" s="18"/>
      <c r="K65" s="18"/>
      <c r="L65" s="18"/>
      <c r="M65" s="18"/>
      <c r="N65" s="18"/>
      <c r="AE65" s="223"/>
      <c r="AF65" s="242" t="b">
        <v>0</v>
      </c>
      <c r="AI65" s="193"/>
      <c r="AJ65" s="223">
        <f>N(AF65)</f>
        <v>0</v>
      </c>
      <c r="AK65" s="357" t="s">
        <v>4164</v>
      </c>
      <c r="AM65" s="196"/>
      <c r="AN65" s="74"/>
    </row>
    <row r="66" spans="2:41" ht="30" customHeight="1">
      <c r="B66" s="361"/>
      <c r="C66" s="15"/>
      <c r="D66" s="232"/>
      <c r="E66" s="16" t="s">
        <v>4084</v>
      </c>
      <c r="F66" s="232"/>
      <c r="G66" s="18" t="s">
        <v>3968</v>
      </c>
      <c r="H66" s="18"/>
      <c r="I66" s="18"/>
      <c r="J66" s="18"/>
      <c r="K66" s="18"/>
      <c r="L66" s="18"/>
      <c r="M66" s="18"/>
      <c r="N66" s="18"/>
      <c r="AE66" s="223"/>
      <c r="AF66" s="242" t="b">
        <v>0</v>
      </c>
      <c r="AI66" s="193"/>
      <c r="AJ66" s="223">
        <f>N(AF66)</f>
        <v>0</v>
      </c>
      <c r="AK66" s="74"/>
      <c r="AM66" s="196"/>
      <c r="AN66" s="74"/>
    </row>
    <row r="67" spans="2:41" ht="30" customHeight="1">
      <c r="B67" s="361"/>
      <c r="C67" s="15"/>
      <c r="D67" s="232"/>
      <c r="E67" s="232"/>
      <c r="F67" s="20"/>
      <c r="G67" s="18" t="s">
        <v>4094</v>
      </c>
      <c r="H67" s="18"/>
      <c r="I67" s="18"/>
      <c r="J67" s="18"/>
      <c r="K67" s="18"/>
      <c r="L67" s="18"/>
      <c r="M67" s="18"/>
      <c r="N67" s="18"/>
      <c r="AE67" s="223"/>
      <c r="AF67" s="243" t="b">
        <v>0</v>
      </c>
      <c r="AI67" s="193"/>
      <c r="AJ67" s="223">
        <f>N(AF67)</f>
        <v>0</v>
      </c>
      <c r="AK67" s="357" t="s">
        <v>4164</v>
      </c>
      <c r="AM67" s="196"/>
      <c r="AN67" s="74"/>
    </row>
    <row r="68" spans="2:41" ht="30" customHeight="1">
      <c r="B68" s="238" t="s">
        <v>27</v>
      </c>
      <c r="C68" s="15"/>
      <c r="D68" s="212" t="s">
        <v>4282</v>
      </c>
      <c r="E68" s="18"/>
      <c r="F68" s="20"/>
      <c r="G68" s="20"/>
      <c r="H68" s="20"/>
      <c r="I68" s="20"/>
      <c r="J68" s="20"/>
      <c r="K68" s="20"/>
      <c r="L68" s="20"/>
      <c r="M68" s="20"/>
      <c r="N68" s="20"/>
      <c r="AE68" s="243" t="b">
        <v>0</v>
      </c>
      <c r="AI68" s="193"/>
      <c r="AJ68" s="224">
        <f>N(AE68)</f>
        <v>0</v>
      </c>
      <c r="AK68" s="357" t="s">
        <v>4164</v>
      </c>
      <c r="AL68" s="74"/>
      <c r="AM68" s="13"/>
    </row>
    <row r="69" spans="2:41" ht="48" customHeight="1">
      <c r="B69" s="237"/>
      <c r="C69" s="252" t="s">
        <v>232</v>
      </c>
      <c r="D69" s="442"/>
      <c r="E69" s="442"/>
      <c r="F69" s="442"/>
      <c r="G69" s="442"/>
      <c r="H69" s="442"/>
      <c r="I69" s="442"/>
      <c r="J69" s="442"/>
      <c r="K69" s="442"/>
      <c r="L69" s="442"/>
      <c r="M69" s="442"/>
      <c r="N69" s="442"/>
      <c r="AE69" s="242"/>
      <c r="AI69" s="193"/>
      <c r="AJ69" s="223"/>
    </row>
    <row r="70" spans="2:41" ht="30" customHeight="1">
      <c r="B70" s="17"/>
      <c r="C70" s="14"/>
      <c r="D70" s="18" t="s">
        <v>492</v>
      </c>
      <c r="E70" s="18"/>
      <c r="F70" s="18"/>
      <c r="G70" s="18"/>
      <c r="H70" s="18"/>
      <c r="I70" s="18"/>
      <c r="J70" s="18"/>
      <c r="K70" s="18"/>
      <c r="L70" s="18"/>
      <c r="M70" s="18"/>
      <c r="N70" s="18"/>
      <c r="AE70" s="222" t="b">
        <v>0</v>
      </c>
      <c r="AI70" s="247" t="s">
        <v>3981</v>
      </c>
      <c r="AJ70" s="222">
        <f>N(AE70)</f>
        <v>0</v>
      </c>
      <c r="AM70" s="196" t="s">
        <v>4053</v>
      </c>
      <c r="AN70" s="360" t="str" cm="1">
        <f t="array" ref="AN70">IFERROR(_xlfn.IFS(AJ70=1,D70,AJ71=1,D71,AJ72=1,D72,AJ73=1,D73),"")</f>
        <v/>
      </c>
      <c r="AO70" s="365">
        <f>IF(SUM(AJ70:AJ73)=0,1,0)</f>
        <v>1</v>
      </c>
    </row>
    <row r="71" spans="2:41" ht="30" customHeight="1">
      <c r="B71" s="19"/>
      <c r="C71" s="15"/>
      <c r="D71" s="18" t="s">
        <v>26</v>
      </c>
      <c r="E71" s="18"/>
      <c r="F71" s="18"/>
      <c r="G71" s="18"/>
      <c r="H71" s="18"/>
      <c r="I71" s="18"/>
      <c r="J71" s="18"/>
      <c r="K71" s="18"/>
      <c r="L71" s="18"/>
      <c r="M71" s="18"/>
      <c r="N71" s="18"/>
      <c r="AE71" s="223" t="b">
        <v>0</v>
      </c>
      <c r="AI71" s="193"/>
      <c r="AJ71" s="223">
        <f>N(AE71)</f>
        <v>0</v>
      </c>
    </row>
    <row r="72" spans="2:41" ht="30" customHeight="1">
      <c r="B72" s="19" t="s">
        <v>25</v>
      </c>
      <c r="C72" s="15"/>
      <c r="D72" s="18" t="s">
        <v>3969</v>
      </c>
      <c r="E72" s="18"/>
      <c r="F72" s="18"/>
      <c r="G72" s="18"/>
      <c r="H72" s="18"/>
      <c r="I72" s="18"/>
      <c r="J72" s="18"/>
      <c r="K72" s="18"/>
      <c r="L72" s="18"/>
      <c r="M72" s="18"/>
      <c r="N72" s="18"/>
      <c r="AE72" s="223" t="b">
        <v>0</v>
      </c>
      <c r="AI72" s="193"/>
      <c r="AJ72" s="223">
        <f>N(AE72)</f>
        <v>0</v>
      </c>
    </row>
    <row r="73" spans="2:41" ht="30" customHeight="1">
      <c r="B73" s="238" t="s">
        <v>27</v>
      </c>
      <c r="C73" s="15"/>
      <c r="D73" s="18" t="s">
        <v>3970</v>
      </c>
      <c r="E73" s="18"/>
      <c r="F73" s="18"/>
      <c r="G73" s="18"/>
      <c r="H73" s="18"/>
      <c r="I73" s="18"/>
      <c r="J73" s="18"/>
      <c r="K73" s="18"/>
      <c r="L73" s="18"/>
      <c r="M73" s="18"/>
      <c r="N73" s="18"/>
      <c r="AE73" s="224" t="b">
        <v>0</v>
      </c>
      <c r="AI73" s="193"/>
      <c r="AJ73" s="224">
        <f>N(AE73)</f>
        <v>0</v>
      </c>
    </row>
    <row r="74" spans="2:41" ht="48" customHeight="1">
      <c r="B74" s="237"/>
      <c r="C74" s="253" t="s">
        <v>232</v>
      </c>
      <c r="D74" s="442"/>
      <c r="E74" s="442"/>
      <c r="F74" s="442"/>
      <c r="G74" s="442"/>
      <c r="H74" s="442"/>
      <c r="I74" s="442"/>
      <c r="J74" s="442"/>
      <c r="K74" s="442"/>
      <c r="L74" s="442"/>
      <c r="M74" s="442"/>
      <c r="N74" s="442"/>
      <c r="AE74" s="242"/>
      <c r="AI74" s="193"/>
      <c r="AJ74" s="223"/>
    </row>
    <row r="75" spans="2:41" ht="30" customHeight="1">
      <c r="B75" s="17"/>
      <c r="C75" s="14"/>
      <c r="D75" s="18" t="s">
        <v>4016</v>
      </c>
      <c r="E75" s="18"/>
      <c r="F75" s="18"/>
      <c r="G75" s="18"/>
      <c r="H75" s="18"/>
      <c r="I75" s="18"/>
      <c r="J75" s="18"/>
      <c r="K75" s="18"/>
      <c r="L75" s="18"/>
      <c r="M75" s="18"/>
      <c r="N75" s="18"/>
      <c r="AE75" s="222" t="b">
        <v>0</v>
      </c>
      <c r="AI75" s="247" t="s">
        <v>3982</v>
      </c>
      <c r="AJ75" s="222">
        <f t="shared" ref="AJ75:AJ79" si="13">N(AE75)</f>
        <v>0</v>
      </c>
      <c r="AM75" s="196" t="s">
        <v>3982</v>
      </c>
      <c r="AN75" s="360" t="str" cm="1">
        <f t="array" ref="AN75">IFERROR(_xlfn.IFS(AJ75=1,D75,AJ76=1,D76,AND(AJ77=1,AJ78=1),AK77,AJ79=1,D79),"")</f>
        <v/>
      </c>
      <c r="AO75" s="365">
        <f>IF(SUM(AJ75:AJ79)=0,1,0)</f>
        <v>1</v>
      </c>
    </row>
    <row r="76" spans="2:41" ht="30" customHeight="1">
      <c r="B76" s="19"/>
      <c r="C76" s="15"/>
      <c r="D76" s="18" t="s">
        <v>4017</v>
      </c>
      <c r="E76" s="18"/>
      <c r="F76" s="18"/>
      <c r="G76" s="18"/>
      <c r="H76" s="18"/>
      <c r="I76" s="18"/>
      <c r="J76" s="18"/>
      <c r="K76" s="18"/>
      <c r="L76" s="18"/>
      <c r="M76" s="18"/>
      <c r="N76" s="18"/>
      <c r="AE76" s="223" t="b">
        <v>0</v>
      </c>
      <c r="AI76" s="193"/>
      <c r="AJ76" s="223">
        <f t="shared" si="13"/>
        <v>0</v>
      </c>
    </row>
    <row r="77" spans="2:41" ht="30" customHeight="1">
      <c r="B77" s="19" t="s">
        <v>28</v>
      </c>
      <c r="C77" s="15"/>
      <c r="D77" s="16" t="s">
        <v>4055</v>
      </c>
      <c r="E77" s="16"/>
      <c r="F77" s="18"/>
      <c r="G77" s="18"/>
      <c r="H77" s="18"/>
      <c r="I77" s="18"/>
      <c r="J77" s="18"/>
      <c r="K77" s="18"/>
      <c r="L77" s="18"/>
      <c r="M77" s="233"/>
      <c r="N77" s="233"/>
      <c r="O77" s="22"/>
      <c r="P77" s="22"/>
      <c r="AE77" s="223" t="b">
        <v>0</v>
      </c>
      <c r="AI77" s="193"/>
      <c r="AJ77" s="223">
        <f t="shared" si="13"/>
        <v>0</v>
      </c>
      <c r="AK77" s="74" t="s">
        <v>4063</v>
      </c>
    </row>
    <row r="78" spans="2:41" ht="30" customHeight="1">
      <c r="B78" s="19" t="s">
        <v>28</v>
      </c>
      <c r="C78" s="15"/>
      <c r="D78" s="20"/>
      <c r="E78" s="20"/>
      <c r="F78" s="16" t="s">
        <v>4056</v>
      </c>
      <c r="G78" s="16"/>
      <c r="H78" s="16"/>
      <c r="I78" s="16"/>
      <c r="J78" s="16"/>
      <c r="K78" s="16"/>
      <c r="L78" s="16"/>
      <c r="M78" s="16"/>
      <c r="N78" s="16"/>
      <c r="O78" s="22"/>
      <c r="P78" s="22"/>
      <c r="AE78" s="223" t="b">
        <v>0</v>
      </c>
      <c r="AF78" s="281" t="b">
        <v>0</v>
      </c>
      <c r="AI78" s="193"/>
      <c r="AJ78" s="223">
        <f>N(AF78)</f>
        <v>0</v>
      </c>
    </row>
    <row r="79" spans="2:41" ht="30" customHeight="1">
      <c r="B79" s="239" t="s">
        <v>27</v>
      </c>
      <c r="C79" s="15"/>
      <c r="D79" s="212" t="s">
        <v>4282</v>
      </c>
      <c r="E79" s="18"/>
      <c r="F79" s="18"/>
      <c r="G79" s="18"/>
      <c r="H79" s="18"/>
      <c r="I79" s="18"/>
      <c r="J79" s="18"/>
      <c r="K79" s="18"/>
      <c r="L79" s="18"/>
      <c r="M79" s="18"/>
      <c r="N79" s="18"/>
      <c r="AE79" s="224" t="b">
        <v>0</v>
      </c>
      <c r="AI79" s="193"/>
      <c r="AJ79" s="224">
        <f t="shared" si="13"/>
        <v>0</v>
      </c>
    </row>
    <row r="80" spans="2:41" ht="48" customHeight="1">
      <c r="B80" s="237"/>
      <c r="C80" s="253" t="s">
        <v>232</v>
      </c>
      <c r="D80" s="442"/>
      <c r="E80" s="442"/>
      <c r="F80" s="442"/>
      <c r="G80" s="442"/>
      <c r="H80" s="442"/>
      <c r="I80" s="442"/>
      <c r="J80" s="442"/>
      <c r="K80" s="442"/>
      <c r="L80" s="442"/>
      <c r="M80" s="442"/>
      <c r="N80" s="442"/>
      <c r="AE80" s="242"/>
      <c r="AI80" s="193"/>
      <c r="AJ80" s="223"/>
    </row>
    <row r="81" spans="2:41" ht="30" customHeight="1">
      <c r="B81" s="443" t="s">
        <v>3984</v>
      </c>
      <c r="C81" s="15"/>
      <c r="D81" s="18" t="s">
        <v>3971</v>
      </c>
      <c r="E81" s="18"/>
      <c r="F81" s="18"/>
      <c r="G81" s="18"/>
      <c r="H81" s="18"/>
      <c r="I81" s="18"/>
      <c r="J81" s="18"/>
      <c r="K81" s="18"/>
      <c r="L81" s="18"/>
      <c r="M81" s="18"/>
      <c r="N81" s="18"/>
      <c r="AE81" s="222" t="b">
        <v>0</v>
      </c>
      <c r="AI81" s="247" t="s">
        <v>3983</v>
      </c>
      <c r="AJ81" s="222">
        <f t="shared" ref="AJ81:AJ82" si="14">N(AE81)</f>
        <v>0</v>
      </c>
      <c r="AM81" s="196" t="s">
        <v>3983</v>
      </c>
      <c r="AN81" s="360" t="str" cm="1">
        <f t="array" ref="AN81">IFERROR(_xlfn.IFS(AJ81=1,D81,AJ82=1,D82),"")</f>
        <v/>
      </c>
      <c r="AO81" s="365">
        <f>IF(SUM(AJ81:AJ82)=0,1,0)</f>
        <v>1</v>
      </c>
    </row>
    <row r="82" spans="2:41" ht="30" customHeight="1">
      <c r="B82" s="444"/>
      <c r="C82" s="15"/>
      <c r="D82" s="212" t="s">
        <v>4282</v>
      </c>
      <c r="E82" s="18"/>
      <c r="F82" s="18"/>
      <c r="G82" s="18"/>
      <c r="H82" s="18"/>
      <c r="I82" s="18"/>
      <c r="J82" s="18"/>
      <c r="K82" s="18"/>
      <c r="L82" s="18"/>
      <c r="M82" s="18"/>
      <c r="N82" s="18"/>
      <c r="AE82" s="224" t="b">
        <v>0</v>
      </c>
      <c r="AI82" s="193"/>
      <c r="AJ82" s="224">
        <f t="shared" si="14"/>
        <v>0</v>
      </c>
    </row>
    <row r="83" spans="2:41" ht="48" customHeight="1">
      <c r="B83" s="445"/>
      <c r="C83" s="253" t="s">
        <v>232</v>
      </c>
      <c r="D83" s="442"/>
      <c r="E83" s="442"/>
      <c r="F83" s="442"/>
      <c r="G83" s="442"/>
      <c r="H83" s="442"/>
      <c r="I83" s="442"/>
      <c r="J83" s="442"/>
      <c r="K83" s="442"/>
      <c r="L83" s="442"/>
      <c r="M83" s="442"/>
      <c r="N83" s="442"/>
      <c r="AE83" s="242"/>
      <c r="AJ83" s="301"/>
      <c r="AM83" s="193"/>
      <c r="AN83" s="13"/>
      <c r="AO83" s="13"/>
    </row>
  </sheetData>
  <sheetProtection algorithmName="SHA-512" hashValue="BkOA6OJKtetcobii0eOMFTN5lAyl9wpwER9Bz5WbSqN0PQjgD/AJnqUqX7LZmnl2HfKNEtNpKAX+apOB7uvyug==" saltValue="Ci0EYSoCI0xNVoEcbAJj0A==" spinCount="100000" sheet="1" formatCells="0" selectLockedCells="1"/>
  <mergeCells count="77">
    <mergeCell ref="O26:P26"/>
    <mergeCell ref="K27:N27"/>
    <mergeCell ref="K28:N28"/>
    <mergeCell ref="R10:R11"/>
    <mergeCell ref="I1:I3"/>
    <mergeCell ref="K1:N3"/>
    <mergeCell ref="O1:P1"/>
    <mergeCell ref="J2:J3"/>
    <mergeCell ref="O2:P3"/>
    <mergeCell ref="I10:I11"/>
    <mergeCell ref="L12:O12"/>
    <mergeCell ref="P9:Q10"/>
    <mergeCell ref="K25:N25"/>
    <mergeCell ref="K36:N36"/>
    <mergeCell ref="B1:G3"/>
    <mergeCell ref="B10:B11"/>
    <mergeCell ref="E10:E11"/>
    <mergeCell ref="F10:G11"/>
    <mergeCell ref="H10:H11"/>
    <mergeCell ref="H1:H3"/>
    <mergeCell ref="F14:G14"/>
    <mergeCell ref="L14:O14"/>
    <mergeCell ref="F8:G8"/>
    <mergeCell ref="F9:G9"/>
    <mergeCell ref="L9:O9"/>
    <mergeCell ref="L10:O10"/>
    <mergeCell ref="L11:O11"/>
    <mergeCell ref="F13:G13"/>
    <mergeCell ref="L13:O13"/>
    <mergeCell ref="F15:G15"/>
    <mergeCell ref="L15:O15"/>
    <mergeCell ref="F16:G16"/>
    <mergeCell ref="L16:O16"/>
    <mergeCell ref="F17:G17"/>
    <mergeCell ref="L17:O17"/>
    <mergeCell ref="F18:G18"/>
    <mergeCell ref="L18:O18"/>
    <mergeCell ref="F19:G19"/>
    <mergeCell ref="L19:O19"/>
    <mergeCell ref="G24:H24"/>
    <mergeCell ref="I24:J24"/>
    <mergeCell ref="K24:L24"/>
    <mergeCell ref="D25:E25"/>
    <mergeCell ref="F25:G25"/>
    <mergeCell ref="H25:I25"/>
    <mergeCell ref="D26:E26"/>
    <mergeCell ref="F26:G26"/>
    <mergeCell ref="H26:I26"/>
    <mergeCell ref="K29:N29"/>
    <mergeCell ref="K26:N26"/>
    <mergeCell ref="D34:E34"/>
    <mergeCell ref="F34:G34"/>
    <mergeCell ref="H34:I34"/>
    <mergeCell ref="K34:N34"/>
    <mergeCell ref="D33:E33"/>
    <mergeCell ref="F33:G33"/>
    <mergeCell ref="H33:I33"/>
    <mergeCell ref="K33:N33"/>
    <mergeCell ref="D29:E29"/>
    <mergeCell ref="F29:G29"/>
    <mergeCell ref="H29:I29"/>
    <mergeCell ref="D35:E35"/>
    <mergeCell ref="F35:G35"/>
    <mergeCell ref="H35:I35"/>
    <mergeCell ref="K35:N35"/>
    <mergeCell ref="O35:P35"/>
    <mergeCell ref="K37:N37"/>
    <mergeCell ref="D38:E38"/>
    <mergeCell ref="F38:G38"/>
    <mergeCell ref="H38:I38"/>
    <mergeCell ref="K38:N38"/>
    <mergeCell ref="D61:N61"/>
    <mergeCell ref="D69:N69"/>
    <mergeCell ref="D74:N74"/>
    <mergeCell ref="D80:N80"/>
    <mergeCell ref="B81:B83"/>
    <mergeCell ref="D83:N83"/>
  </mergeCells>
  <phoneticPr fontId="12"/>
  <conditionalFormatting sqref="D29:I29">
    <cfRule type="expression" dxfId="127" priority="59">
      <formula>$C29="直接入力"</formula>
    </cfRule>
  </conditionalFormatting>
  <conditionalFormatting sqref="J38">
    <cfRule type="expression" dxfId="126" priority="58">
      <formula>$C38="枠と戸の組み合わせから入力"</formula>
    </cfRule>
  </conditionalFormatting>
  <conditionalFormatting sqref="D42:N42">
    <cfRule type="expression" dxfId="125" priority="47">
      <formula>$AE$42=TRUE</formula>
    </cfRule>
  </conditionalFormatting>
  <conditionalFormatting sqref="D43:N43">
    <cfRule type="expression" dxfId="124" priority="46">
      <formula>$AE$43=TRUE</formula>
    </cfRule>
  </conditionalFormatting>
  <conditionalFormatting sqref="D60:N60 D61">
    <cfRule type="expression" dxfId="123" priority="45">
      <formula>$AE60=TRUE</formula>
    </cfRule>
  </conditionalFormatting>
  <conditionalFormatting sqref="G44:N44">
    <cfRule type="expression" dxfId="122" priority="44">
      <formula>$AF$44=TRUE</formula>
    </cfRule>
  </conditionalFormatting>
  <conditionalFormatting sqref="G49:N50 H51:N51">
    <cfRule type="expression" dxfId="121" priority="43">
      <formula>$AF49=TRUE</formula>
    </cfRule>
  </conditionalFormatting>
  <conditionalFormatting sqref="H46:N48">
    <cfRule type="expression" dxfId="120" priority="42">
      <formula>$AG46=TRUE</formula>
    </cfRule>
  </conditionalFormatting>
  <conditionalFormatting sqref="D62:N62">
    <cfRule type="expression" dxfId="119" priority="40">
      <formula>$AE62=TRUE</formula>
    </cfRule>
  </conditionalFormatting>
  <conditionalFormatting sqref="D68:N68">
    <cfRule type="expression" dxfId="118" priority="38">
      <formula>$AE68=TRUE</formula>
    </cfRule>
  </conditionalFormatting>
  <conditionalFormatting sqref="D69">
    <cfRule type="expression" dxfId="117" priority="27">
      <formula>$AE69=TRUE</formula>
    </cfRule>
  </conditionalFormatting>
  <conditionalFormatting sqref="D74">
    <cfRule type="expression" dxfId="116" priority="26">
      <formula>$AE74=TRUE</formula>
    </cfRule>
  </conditionalFormatting>
  <conditionalFormatting sqref="D80">
    <cfRule type="expression" dxfId="115" priority="25">
      <formula>$AE80=TRUE</formula>
    </cfRule>
  </conditionalFormatting>
  <conditionalFormatting sqref="D83">
    <cfRule type="expression" dxfId="114" priority="24">
      <formula>$AE83=TRUE</formula>
    </cfRule>
  </conditionalFormatting>
  <conditionalFormatting sqref="J29">
    <cfRule type="expression" dxfId="113" priority="93">
      <formula>$C29="建具とガラスの組み合わせから入力"</formula>
    </cfRule>
  </conditionalFormatting>
  <conditionalFormatting sqref="D70:N73">
    <cfRule type="expression" dxfId="112" priority="21">
      <formula>$AE70=TRUE</formula>
    </cfRule>
  </conditionalFormatting>
  <conditionalFormatting sqref="D75:N77">
    <cfRule type="expression" dxfId="111" priority="20">
      <formula>$AE75=TRUE</formula>
    </cfRule>
  </conditionalFormatting>
  <conditionalFormatting sqref="D79:N79">
    <cfRule type="expression" dxfId="110" priority="19">
      <formula>$AE79=TRUE</formula>
    </cfRule>
  </conditionalFormatting>
  <conditionalFormatting sqref="D81:N82">
    <cfRule type="expression" dxfId="109" priority="18">
      <formula>$AE81=TRUE</formula>
    </cfRule>
  </conditionalFormatting>
  <conditionalFormatting sqref="F78:N78">
    <cfRule type="expression" dxfId="108" priority="16">
      <formula>$AF78=TRUE</formula>
    </cfRule>
  </conditionalFormatting>
  <conditionalFormatting sqref="G51">
    <cfRule type="expression" dxfId="107" priority="15">
      <formula>$AF51=TRUE</formula>
    </cfRule>
  </conditionalFormatting>
  <conditionalFormatting sqref="G52:N52">
    <cfRule type="expression" dxfId="106" priority="14">
      <formula>$AF52=TRUE</formula>
    </cfRule>
  </conditionalFormatting>
  <conditionalFormatting sqref="H54:N56">
    <cfRule type="expression" dxfId="105" priority="13">
      <formula>$AG54=TRUE</formula>
    </cfRule>
  </conditionalFormatting>
  <conditionalFormatting sqref="D63:N63">
    <cfRule type="expression" dxfId="104" priority="10">
      <formula>$AE63=TRUE</formula>
    </cfRule>
  </conditionalFormatting>
  <conditionalFormatting sqref="G57:N59">
    <cfRule type="expression" dxfId="103" priority="9">
      <formula>$AF57=TRUE</formula>
    </cfRule>
  </conditionalFormatting>
  <conditionalFormatting sqref="G64:N67">
    <cfRule type="expression" dxfId="102" priority="8">
      <formula>$AF64=TRUE</formula>
    </cfRule>
  </conditionalFormatting>
  <conditionalFormatting sqref="F13:J19">
    <cfRule type="expression" dxfId="101" priority="7">
      <formula>$D13="直接入力"</formula>
    </cfRule>
  </conditionalFormatting>
  <conditionalFormatting sqref="K13:K19">
    <cfRule type="expression" dxfId="100" priority="6">
      <formula>$D13="断熱材の種類から入力"</formula>
    </cfRule>
  </conditionalFormatting>
  <conditionalFormatting sqref="D38:I38">
    <cfRule type="expression" dxfId="99" priority="5">
      <formula>$C$38="直接入力"</formula>
    </cfRule>
  </conditionalFormatting>
  <conditionalFormatting sqref="D13:Q19">
    <cfRule type="expression" dxfId="98" priority="4">
      <formula>$C13="該当部位なし"</formula>
    </cfRule>
  </conditionalFormatting>
  <conditionalFormatting sqref="P13:R19">
    <cfRule type="expression" dxfId="97" priority="3">
      <formula>$R13="不適"</formula>
    </cfRule>
  </conditionalFormatting>
  <conditionalFormatting sqref="O29:Q29">
    <cfRule type="expression" dxfId="96" priority="2">
      <formula>$Q$29="不適"</formula>
    </cfRule>
  </conditionalFormatting>
  <conditionalFormatting sqref="O38:Q38">
    <cfRule type="expression" dxfId="95" priority="1">
      <formula>$Q$38="不適"</formula>
    </cfRule>
  </conditionalFormatting>
  <dataValidations count="3">
    <dataValidation type="list" allowBlank="1" showInputMessage="1" showErrorMessage="1" sqref="H38:I38 H29" xr:uid="{54D2AD1E-2964-43CA-8E12-BFD73520864A}">
      <formula1>INDIRECT(AE29)</formula1>
    </dataValidation>
    <dataValidation type="list" allowBlank="1" showInputMessage="1" showErrorMessage="1" sqref="F38:G38 F29:G29" xr:uid="{4E96A500-85F1-4D2D-B5CD-225F2EE20CF6}">
      <formula1>INDIRECT(D29)</formula1>
    </dataValidation>
    <dataValidation type="list" allowBlank="1" showInputMessage="1" showErrorMessage="1" sqref="I29" xr:uid="{8AFF1AAF-8C20-4F51-9272-BB78D1C06336}">
      <formula1>INDIRECT(AF26)</formula1>
    </dataValidation>
  </dataValidations>
  <pageMargins left="0.70866141732283472" right="0.70866141732283472" top="0.74803149606299213" bottom="0.74803149606299213" header="0.31496062992125984" footer="0.31496062992125984"/>
  <pageSetup paperSize="8" scale="34" orientation="portrait" verticalDpi="0" r:id="rId1"/>
  <colBreaks count="1" manualBreakCount="1">
    <brk id="18" max="82" man="1"/>
  </col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macro="[0]!Sheet15.地域1234チェック1_Click">
                <anchor moveWithCells="1">
                  <from>
                    <xdr:col>2</xdr:col>
                    <xdr:colOff>647700</xdr:colOff>
                    <xdr:row>41</xdr:row>
                    <xdr:rowOff>19050</xdr:rowOff>
                  </from>
                  <to>
                    <xdr:col>3</xdr:col>
                    <xdr:colOff>66675</xdr:colOff>
                    <xdr:row>41</xdr:row>
                    <xdr:rowOff>371475</xdr:rowOff>
                  </to>
                </anchor>
              </controlPr>
            </control>
          </mc:Choice>
        </mc:AlternateContent>
        <mc:AlternateContent xmlns:mc="http://schemas.openxmlformats.org/markup-compatibility/2006">
          <mc:Choice Requires="x14">
            <control shapeId="19458" r:id="rId5" name="Check Box 2">
              <controlPr defaultSize="0" autoFill="0" autoLine="0" autoPict="0" macro="[0]!Sheet15.地域1234チェック2_Click">
                <anchor moveWithCells="1">
                  <from>
                    <xdr:col>2</xdr:col>
                    <xdr:colOff>647700</xdr:colOff>
                    <xdr:row>41</xdr:row>
                    <xdr:rowOff>371475</xdr:rowOff>
                  </from>
                  <to>
                    <xdr:col>3</xdr:col>
                    <xdr:colOff>66675</xdr:colOff>
                    <xdr:row>42</xdr:row>
                    <xdr:rowOff>371475</xdr:rowOff>
                  </to>
                </anchor>
              </controlPr>
            </control>
          </mc:Choice>
        </mc:AlternateContent>
        <mc:AlternateContent xmlns:mc="http://schemas.openxmlformats.org/markup-compatibility/2006">
          <mc:Choice Requires="x14">
            <control shapeId="19459" r:id="rId6" name="Check Box 3">
              <controlPr defaultSize="0" autoFill="0" autoLine="0" autoPict="0" macro="[0]!Sheet15.地域1234チェック3_Click">
                <anchor moveWithCells="1">
                  <from>
                    <xdr:col>2</xdr:col>
                    <xdr:colOff>647700</xdr:colOff>
                    <xdr:row>59</xdr:row>
                    <xdr:rowOff>9525</xdr:rowOff>
                  </from>
                  <to>
                    <xdr:col>3</xdr:col>
                    <xdr:colOff>76200</xdr:colOff>
                    <xdr:row>60</xdr:row>
                    <xdr:rowOff>0</xdr:rowOff>
                  </to>
                </anchor>
              </controlPr>
            </control>
          </mc:Choice>
        </mc:AlternateContent>
        <mc:AlternateContent xmlns:mc="http://schemas.openxmlformats.org/markup-compatibility/2006">
          <mc:Choice Requires="x14">
            <control shapeId="19460" r:id="rId7" name="Check Box 4">
              <controlPr defaultSize="0" autoFill="0" autoLine="0" autoPict="0" macro="[0]!Sheet15.地域1234チェック4_Click">
                <anchor moveWithCells="1">
                  <from>
                    <xdr:col>5</xdr:col>
                    <xdr:colOff>676275</xdr:colOff>
                    <xdr:row>43</xdr:row>
                    <xdr:rowOff>9525</xdr:rowOff>
                  </from>
                  <to>
                    <xdr:col>6</xdr:col>
                    <xdr:colOff>66675</xdr:colOff>
                    <xdr:row>44</xdr:row>
                    <xdr:rowOff>0</xdr:rowOff>
                  </to>
                </anchor>
              </controlPr>
            </control>
          </mc:Choice>
        </mc:AlternateContent>
        <mc:AlternateContent xmlns:mc="http://schemas.openxmlformats.org/markup-compatibility/2006">
          <mc:Choice Requires="x14">
            <control shapeId="19461" r:id="rId8" name="Check Box 5">
              <controlPr defaultSize="0" autoFill="0" autoLine="0" autoPict="0" macro="[0]!Sheet15.地域1234チェック5_Click">
                <anchor moveWithCells="1">
                  <from>
                    <xdr:col>5</xdr:col>
                    <xdr:colOff>676275</xdr:colOff>
                    <xdr:row>48</xdr:row>
                    <xdr:rowOff>9525</xdr:rowOff>
                  </from>
                  <to>
                    <xdr:col>6</xdr:col>
                    <xdr:colOff>66675</xdr:colOff>
                    <xdr:row>49</xdr:row>
                    <xdr:rowOff>0</xdr:rowOff>
                  </to>
                </anchor>
              </controlPr>
            </control>
          </mc:Choice>
        </mc:AlternateContent>
        <mc:AlternateContent xmlns:mc="http://schemas.openxmlformats.org/markup-compatibility/2006">
          <mc:Choice Requires="x14">
            <control shapeId="19463" r:id="rId9" name="Check Box 7">
              <controlPr defaultSize="0" autoFill="0" autoLine="0" autoPict="0" macro="[0]!Sheet15.地域1234チェック7_Click">
                <anchor moveWithCells="1">
                  <from>
                    <xdr:col>6</xdr:col>
                    <xdr:colOff>714375</xdr:colOff>
                    <xdr:row>45</xdr:row>
                    <xdr:rowOff>9525</xdr:rowOff>
                  </from>
                  <to>
                    <xdr:col>7</xdr:col>
                    <xdr:colOff>123825</xdr:colOff>
                    <xdr:row>46</xdr:row>
                    <xdr:rowOff>0</xdr:rowOff>
                  </to>
                </anchor>
              </controlPr>
            </control>
          </mc:Choice>
        </mc:AlternateContent>
        <mc:AlternateContent xmlns:mc="http://schemas.openxmlformats.org/markup-compatibility/2006">
          <mc:Choice Requires="x14">
            <control shapeId="19464" r:id="rId10" name="Check Box 8">
              <controlPr defaultSize="0" autoFill="0" autoLine="0" autoPict="0" macro="[0]!Sheet15.地域1234チェック8_Click">
                <anchor moveWithCells="1">
                  <from>
                    <xdr:col>6</xdr:col>
                    <xdr:colOff>723900</xdr:colOff>
                    <xdr:row>46</xdr:row>
                    <xdr:rowOff>9525</xdr:rowOff>
                  </from>
                  <to>
                    <xdr:col>7</xdr:col>
                    <xdr:colOff>104775</xdr:colOff>
                    <xdr:row>47</xdr:row>
                    <xdr:rowOff>0</xdr:rowOff>
                  </to>
                </anchor>
              </controlPr>
            </control>
          </mc:Choice>
        </mc:AlternateContent>
        <mc:AlternateContent xmlns:mc="http://schemas.openxmlformats.org/markup-compatibility/2006">
          <mc:Choice Requires="x14">
            <control shapeId="19465" r:id="rId11" name="Check Box 9">
              <controlPr defaultSize="0" autoFill="0" autoLine="0" autoPict="0" macro="[0]!Sheet15.地域1234チェック9_Click">
                <anchor moveWithCells="1">
                  <from>
                    <xdr:col>6</xdr:col>
                    <xdr:colOff>723900</xdr:colOff>
                    <xdr:row>47</xdr:row>
                    <xdr:rowOff>9525</xdr:rowOff>
                  </from>
                  <to>
                    <xdr:col>7</xdr:col>
                    <xdr:colOff>104775</xdr:colOff>
                    <xdr:row>48</xdr:row>
                    <xdr:rowOff>0</xdr:rowOff>
                  </to>
                </anchor>
              </controlPr>
            </control>
          </mc:Choice>
        </mc:AlternateContent>
        <mc:AlternateContent xmlns:mc="http://schemas.openxmlformats.org/markup-compatibility/2006">
          <mc:Choice Requires="x14">
            <control shapeId="19466" r:id="rId12" name="Check Box 10">
              <controlPr defaultSize="0" autoFill="0" autoLine="0" autoPict="0" macro="[0]!Sheet15.地域1234チェック10_Click">
                <anchor moveWithCells="1">
                  <from>
                    <xdr:col>2</xdr:col>
                    <xdr:colOff>638175</xdr:colOff>
                    <xdr:row>69</xdr:row>
                    <xdr:rowOff>9525</xdr:rowOff>
                  </from>
                  <to>
                    <xdr:col>3</xdr:col>
                    <xdr:colOff>47625</xdr:colOff>
                    <xdr:row>70</xdr:row>
                    <xdr:rowOff>0</xdr:rowOff>
                  </to>
                </anchor>
              </controlPr>
            </control>
          </mc:Choice>
        </mc:AlternateContent>
        <mc:AlternateContent xmlns:mc="http://schemas.openxmlformats.org/markup-compatibility/2006">
          <mc:Choice Requires="x14">
            <control shapeId="19467" r:id="rId13" name="Check Box 11">
              <controlPr defaultSize="0" autoFill="0" autoLine="0" autoPict="0" macro="[0]!Sheet15.地域1234チェック11_Click">
                <anchor moveWithCells="1">
                  <from>
                    <xdr:col>2</xdr:col>
                    <xdr:colOff>638175</xdr:colOff>
                    <xdr:row>70</xdr:row>
                    <xdr:rowOff>9525</xdr:rowOff>
                  </from>
                  <to>
                    <xdr:col>3</xdr:col>
                    <xdr:colOff>47625</xdr:colOff>
                    <xdr:row>71</xdr:row>
                    <xdr:rowOff>0</xdr:rowOff>
                  </to>
                </anchor>
              </controlPr>
            </control>
          </mc:Choice>
        </mc:AlternateContent>
        <mc:AlternateContent xmlns:mc="http://schemas.openxmlformats.org/markup-compatibility/2006">
          <mc:Choice Requires="x14">
            <control shapeId="19468" r:id="rId14" name="Check Box 12">
              <controlPr defaultSize="0" autoFill="0" autoLine="0" autoPict="0" macro="[0]!Sheet15.地域1234チェック12_Click">
                <anchor moveWithCells="1">
                  <from>
                    <xdr:col>2</xdr:col>
                    <xdr:colOff>638175</xdr:colOff>
                    <xdr:row>71</xdr:row>
                    <xdr:rowOff>9525</xdr:rowOff>
                  </from>
                  <to>
                    <xdr:col>3</xdr:col>
                    <xdr:colOff>47625</xdr:colOff>
                    <xdr:row>72</xdr:row>
                    <xdr:rowOff>0</xdr:rowOff>
                  </to>
                </anchor>
              </controlPr>
            </control>
          </mc:Choice>
        </mc:AlternateContent>
        <mc:AlternateContent xmlns:mc="http://schemas.openxmlformats.org/markup-compatibility/2006">
          <mc:Choice Requires="x14">
            <control shapeId="19469" r:id="rId15" name="Check Box 13">
              <controlPr defaultSize="0" autoFill="0" autoLine="0" autoPict="0" macro="[0]!Sheet15.地域1234チェック13_Click">
                <anchor moveWithCells="1">
                  <from>
                    <xdr:col>2</xdr:col>
                    <xdr:colOff>638175</xdr:colOff>
                    <xdr:row>72</xdr:row>
                    <xdr:rowOff>9525</xdr:rowOff>
                  </from>
                  <to>
                    <xdr:col>3</xdr:col>
                    <xdr:colOff>47625</xdr:colOff>
                    <xdr:row>73</xdr:row>
                    <xdr:rowOff>0</xdr:rowOff>
                  </to>
                </anchor>
              </controlPr>
            </control>
          </mc:Choice>
        </mc:AlternateContent>
        <mc:AlternateContent xmlns:mc="http://schemas.openxmlformats.org/markup-compatibility/2006">
          <mc:Choice Requires="x14">
            <control shapeId="19470" r:id="rId16" name="Check Box 14">
              <controlPr defaultSize="0" autoFill="0" autoLine="0" autoPict="0" macro="[0]!Sheet15.地域1234チェック14_Click">
                <anchor moveWithCells="1">
                  <from>
                    <xdr:col>2</xdr:col>
                    <xdr:colOff>638175</xdr:colOff>
                    <xdr:row>74</xdr:row>
                    <xdr:rowOff>9525</xdr:rowOff>
                  </from>
                  <to>
                    <xdr:col>3</xdr:col>
                    <xdr:colOff>47625</xdr:colOff>
                    <xdr:row>75</xdr:row>
                    <xdr:rowOff>0</xdr:rowOff>
                  </to>
                </anchor>
              </controlPr>
            </control>
          </mc:Choice>
        </mc:AlternateContent>
        <mc:AlternateContent xmlns:mc="http://schemas.openxmlformats.org/markup-compatibility/2006">
          <mc:Choice Requires="x14">
            <control shapeId="19471" r:id="rId17" name="Check Box 15">
              <controlPr defaultSize="0" autoFill="0" autoLine="0" autoPict="0" macro="[0]!Sheet15.地域1234チェック15_Click">
                <anchor moveWithCells="1">
                  <from>
                    <xdr:col>2</xdr:col>
                    <xdr:colOff>638175</xdr:colOff>
                    <xdr:row>75</xdr:row>
                    <xdr:rowOff>9525</xdr:rowOff>
                  </from>
                  <to>
                    <xdr:col>3</xdr:col>
                    <xdr:colOff>47625</xdr:colOff>
                    <xdr:row>76</xdr:row>
                    <xdr:rowOff>0</xdr:rowOff>
                  </to>
                </anchor>
              </controlPr>
            </control>
          </mc:Choice>
        </mc:AlternateContent>
        <mc:AlternateContent xmlns:mc="http://schemas.openxmlformats.org/markup-compatibility/2006">
          <mc:Choice Requires="x14">
            <control shapeId="19472" r:id="rId18" name="Check Box 16">
              <controlPr defaultSize="0" autoFill="0" autoLine="0" autoPict="0" macro="[0]!Sheet15.地域1234チェック16_Click">
                <anchor moveWithCells="1">
                  <from>
                    <xdr:col>2</xdr:col>
                    <xdr:colOff>638175</xdr:colOff>
                    <xdr:row>76</xdr:row>
                    <xdr:rowOff>9525</xdr:rowOff>
                  </from>
                  <to>
                    <xdr:col>3</xdr:col>
                    <xdr:colOff>47625</xdr:colOff>
                    <xdr:row>77</xdr:row>
                    <xdr:rowOff>0</xdr:rowOff>
                  </to>
                </anchor>
              </controlPr>
            </control>
          </mc:Choice>
        </mc:AlternateContent>
        <mc:AlternateContent xmlns:mc="http://schemas.openxmlformats.org/markup-compatibility/2006">
          <mc:Choice Requires="x14">
            <control shapeId="19473" r:id="rId19" name="Check Box 17">
              <controlPr defaultSize="0" autoFill="0" autoLine="0" autoPict="0" macro="[0]!Sheet15.地域1234チェック17_Click">
                <anchor moveWithCells="1">
                  <from>
                    <xdr:col>2</xdr:col>
                    <xdr:colOff>638175</xdr:colOff>
                    <xdr:row>78</xdr:row>
                    <xdr:rowOff>9525</xdr:rowOff>
                  </from>
                  <to>
                    <xdr:col>3</xdr:col>
                    <xdr:colOff>47625</xdr:colOff>
                    <xdr:row>79</xdr:row>
                    <xdr:rowOff>0</xdr:rowOff>
                  </to>
                </anchor>
              </controlPr>
            </control>
          </mc:Choice>
        </mc:AlternateContent>
        <mc:AlternateContent xmlns:mc="http://schemas.openxmlformats.org/markup-compatibility/2006">
          <mc:Choice Requires="x14">
            <control shapeId="19474" r:id="rId20" name="Check Box 18">
              <controlPr defaultSize="0" autoFill="0" autoLine="0" autoPict="0" macro="[0]!Sheet15.地域1234チェック18_Click">
                <anchor moveWithCells="1">
                  <from>
                    <xdr:col>2</xdr:col>
                    <xdr:colOff>638175</xdr:colOff>
                    <xdr:row>80</xdr:row>
                    <xdr:rowOff>9525</xdr:rowOff>
                  </from>
                  <to>
                    <xdr:col>3</xdr:col>
                    <xdr:colOff>47625</xdr:colOff>
                    <xdr:row>81</xdr:row>
                    <xdr:rowOff>0</xdr:rowOff>
                  </to>
                </anchor>
              </controlPr>
            </control>
          </mc:Choice>
        </mc:AlternateContent>
        <mc:AlternateContent xmlns:mc="http://schemas.openxmlformats.org/markup-compatibility/2006">
          <mc:Choice Requires="x14">
            <control shapeId="19475" r:id="rId21" name="Check Box 19">
              <controlPr defaultSize="0" autoFill="0" autoLine="0" autoPict="0" macro="[0]!Sheet15.地域1234チェック19_Click">
                <anchor moveWithCells="1">
                  <from>
                    <xdr:col>2</xdr:col>
                    <xdr:colOff>638175</xdr:colOff>
                    <xdr:row>81</xdr:row>
                    <xdr:rowOff>9525</xdr:rowOff>
                  </from>
                  <to>
                    <xdr:col>3</xdr:col>
                    <xdr:colOff>47625</xdr:colOff>
                    <xdr:row>82</xdr:row>
                    <xdr:rowOff>0</xdr:rowOff>
                  </to>
                </anchor>
              </controlPr>
            </control>
          </mc:Choice>
        </mc:AlternateContent>
        <mc:AlternateContent xmlns:mc="http://schemas.openxmlformats.org/markup-compatibility/2006">
          <mc:Choice Requires="x14">
            <control shapeId="19476" r:id="rId22" name="Check Box 20">
              <controlPr defaultSize="0" autoFill="0" autoLine="0" autoPict="0" macro="[0]!Sheet15.地域1234チェック20_Click">
                <anchor moveWithCells="1">
                  <from>
                    <xdr:col>2</xdr:col>
                    <xdr:colOff>647700</xdr:colOff>
                    <xdr:row>61</xdr:row>
                    <xdr:rowOff>19050</xdr:rowOff>
                  </from>
                  <to>
                    <xdr:col>3</xdr:col>
                    <xdr:colOff>76200</xdr:colOff>
                    <xdr:row>61</xdr:row>
                    <xdr:rowOff>371475</xdr:rowOff>
                  </to>
                </anchor>
              </controlPr>
            </control>
          </mc:Choice>
        </mc:AlternateContent>
        <mc:AlternateContent xmlns:mc="http://schemas.openxmlformats.org/markup-compatibility/2006">
          <mc:Choice Requires="x14">
            <control shapeId="19477" r:id="rId23" name="Check Box 21">
              <controlPr defaultSize="0" autoFill="0" autoLine="0" autoPict="0" macro="[0]!Sheet15.地域1234チェック21_Click">
                <anchor moveWithCells="1">
                  <from>
                    <xdr:col>2</xdr:col>
                    <xdr:colOff>647700</xdr:colOff>
                    <xdr:row>61</xdr:row>
                    <xdr:rowOff>371475</xdr:rowOff>
                  </from>
                  <to>
                    <xdr:col>3</xdr:col>
                    <xdr:colOff>76200</xdr:colOff>
                    <xdr:row>62</xdr:row>
                    <xdr:rowOff>361950</xdr:rowOff>
                  </to>
                </anchor>
              </controlPr>
            </control>
          </mc:Choice>
        </mc:AlternateContent>
        <mc:AlternateContent xmlns:mc="http://schemas.openxmlformats.org/markup-compatibility/2006">
          <mc:Choice Requires="x14">
            <control shapeId="19478" r:id="rId24" name="Check Box 22">
              <controlPr defaultSize="0" autoFill="0" autoLine="0" autoPict="0" macro="[0]!Sheet15.地域1234チェック22_Click">
                <anchor moveWithCells="1">
                  <from>
                    <xdr:col>2</xdr:col>
                    <xdr:colOff>647700</xdr:colOff>
                    <xdr:row>67</xdr:row>
                    <xdr:rowOff>0</xdr:rowOff>
                  </from>
                  <to>
                    <xdr:col>3</xdr:col>
                    <xdr:colOff>76200</xdr:colOff>
                    <xdr:row>67</xdr:row>
                    <xdr:rowOff>371475</xdr:rowOff>
                  </to>
                </anchor>
              </controlPr>
            </control>
          </mc:Choice>
        </mc:AlternateContent>
        <mc:AlternateContent xmlns:mc="http://schemas.openxmlformats.org/markup-compatibility/2006">
          <mc:Choice Requires="x14">
            <control shapeId="19480" r:id="rId25" name="Check Box 24">
              <controlPr defaultSize="0" autoFill="0" autoLine="0" autoPict="0" macro="[0]!Sheet15.地域1234チェック24_Click">
                <anchor moveWithCells="1">
                  <from>
                    <xdr:col>5</xdr:col>
                    <xdr:colOff>676275</xdr:colOff>
                    <xdr:row>49</xdr:row>
                    <xdr:rowOff>9525</xdr:rowOff>
                  </from>
                  <to>
                    <xdr:col>6</xdr:col>
                    <xdr:colOff>66675</xdr:colOff>
                    <xdr:row>50</xdr:row>
                    <xdr:rowOff>0</xdr:rowOff>
                  </to>
                </anchor>
              </controlPr>
            </control>
          </mc:Choice>
        </mc:AlternateContent>
        <mc:AlternateContent xmlns:mc="http://schemas.openxmlformats.org/markup-compatibility/2006">
          <mc:Choice Requires="x14">
            <control shapeId="19483" r:id="rId26" name="Check Box 27">
              <controlPr defaultSize="0" autoFill="0" autoLine="0" autoPict="0" macro="[0]!Sheet15.地域1234チェック27_Click">
                <anchor moveWithCells="1">
                  <from>
                    <xdr:col>4</xdr:col>
                    <xdr:colOff>628650</xdr:colOff>
                    <xdr:row>77</xdr:row>
                    <xdr:rowOff>9525</xdr:rowOff>
                  </from>
                  <to>
                    <xdr:col>5</xdr:col>
                    <xdr:colOff>38100</xdr:colOff>
                    <xdr:row>78</xdr:row>
                    <xdr:rowOff>0</xdr:rowOff>
                  </to>
                </anchor>
              </controlPr>
            </control>
          </mc:Choice>
        </mc:AlternateContent>
        <mc:AlternateContent xmlns:mc="http://schemas.openxmlformats.org/markup-compatibility/2006">
          <mc:Choice Requires="x14">
            <control shapeId="19484" r:id="rId27" name="Check Box 28">
              <controlPr defaultSize="0" autoFill="0" autoLine="0" autoPict="0" macro="[0]!Sheet15.地域1234チェック28_Click">
                <anchor moveWithCells="1">
                  <from>
                    <xdr:col>5</xdr:col>
                    <xdr:colOff>676275</xdr:colOff>
                    <xdr:row>50</xdr:row>
                    <xdr:rowOff>9525</xdr:rowOff>
                  </from>
                  <to>
                    <xdr:col>6</xdr:col>
                    <xdr:colOff>66675</xdr:colOff>
                    <xdr:row>51</xdr:row>
                    <xdr:rowOff>0</xdr:rowOff>
                  </to>
                </anchor>
              </controlPr>
            </control>
          </mc:Choice>
        </mc:AlternateContent>
        <mc:AlternateContent xmlns:mc="http://schemas.openxmlformats.org/markup-compatibility/2006">
          <mc:Choice Requires="x14">
            <control shapeId="19485" r:id="rId28" name="Check Box 29">
              <controlPr defaultSize="0" autoFill="0" autoLine="0" autoPict="0" macro="[0]!Sheet15.地域1234チェック29_Click">
                <anchor moveWithCells="1">
                  <from>
                    <xdr:col>5</xdr:col>
                    <xdr:colOff>676275</xdr:colOff>
                    <xdr:row>51</xdr:row>
                    <xdr:rowOff>9525</xdr:rowOff>
                  </from>
                  <to>
                    <xdr:col>6</xdr:col>
                    <xdr:colOff>66675</xdr:colOff>
                    <xdr:row>52</xdr:row>
                    <xdr:rowOff>0</xdr:rowOff>
                  </to>
                </anchor>
              </controlPr>
            </control>
          </mc:Choice>
        </mc:AlternateContent>
        <mc:AlternateContent xmlns:mc="http://schemas.openxmlformats.org/markup-compatibility/2006">
          <mc:Choice Requires="x14">
            <control shapeId="19486" r:id="rId29" name="Check Box 30">
              <controlPr defaultSize="0" autoFill="0" autoLine="0" autoPict="0" macro="[0]!Sheet15.地域1234チェック30_Click">
                <anchor moveWithCells="1">
                  <from>
                    <xdr:col>5</xdr:col>
                    <xdr:colOff>676275</xdr:colOff>
                    <xdr:row>56</xdr:row>
                    <xdr:rowOff>9525</xdr:rowOff>
                  </from>
                  <to>
                    <xdr:col>6</xdr:col>
                    <xdr:colOff>66675</xdr:colOff>
                    <xdr:row>57</xdr:row>
                    <xdr:rowOff>0</xdr:rowOff>
                  </to>
                </anchor>
              </controlPr>
            </control>
          </mc:Choice>
        </mc:AlternateContent>
        <mc:AlternateContent xmlns:mc="http://schemas.openxmlformats.org/markup-compatibility/2006">
          <mc:Choice Requires="x14">
            <control shapeId="19487" r:id="rId30" name="Check Box 31">
              <controlPr defaultSize="0" autoFill="0" autoLine="0" autoPict="0" macro="[0]!Sheet15.地域1234チェック31_Click">
                <anchor moveWithCells="1">
                  <from>
                    <xdr:col>6</xdr:col>
                    <xdr:colOff>714375</xdr:colOff>
                    <xdr:row>53</xdr:row>
                    <xdr:rowOff>9525</xdr:rowOff>
                  </from>
                  <to>
                    <xdr:col>7</xdr:col>
                    <xdr:colOff>123825</xdr:colOff>
                    <xdr:row>54</xdr:row>
                    <xdr:rowOff>0</xdr:rowOff>
                  </to>
                </anchor>
              </controlPr>
            </control>
          </mc:Choice>
        </mc:AlternateContent>
        <mc:AlternateContent xmlns:mc="http://schemas.openxmlformats.org/markup-compatibility/2006">
          <mc:Choice Requires="x14">
            <control shapeId="19488" r:id="rId31" name="Check Box 32">
              <controlPr defaultSize="0" autoFill="0" autoLine="0" autoPict="0" macro="[0]!Sheet15.地域1234チェック32_Click">
                <anchor moveWithCells="1">
                  <from>
                    <xdr:col>6</xdr:col>
                    <xdr:colOff>723900</xdr:colOff>
                    <xdr:row>54</xdr:row>
                    <xdr:rowOff>9525</xdr:rowOff>
                  </from>
                  <to>
                    <xdr:col>7</xdr:col>
                    <xdr:colOff>104775</xdr:colOff>
                    <xdr:row>55</xdr:row>
                    <xdr:rowOff>0</xdr:rowOff>
                  </to>
                </anchor>
              </controlPr>
            </control>
          </mc:Choice>
        </mc:AlternateContent>
        <mc:AlternateContent xmlns:mc="http://schemas.openxmlformats.org/markup-compatibility/2006">
          <mc:Choice Requires="x14">
            <control shapeId="19489" r:id="rId32" name="Check Box 33">
              <controlPr defaultSize="0" autoFill="0" autoLine="0" autoPict="0" macro="[0]!Sheet15.地域1234チェック33_Click">
                <anchor moveWithCells="1">
                  <from>
                    <xdr:col>6</xdr:col>
                    <xdr:colOff>723900</xdr:colOff>
                    <xdr:row>55</xdr:row>
                    <xdr:rowOff>9525</xdr:rowOff>
                  </from>
                  <to>
                    <xdr:col>7</xdr:col>
                    <xdr:colOff>104775</xdr:colOff>
                    <xdr:row>56</xdr:row>
                    <xdr:rowOff>0</xdr:rowOff>
                  </to>
                </anchor>
              </controlPr>
            </control>
          </mc:Choice>
        </mc:AlternateContent>
        <mc:AlternateContent xmlns:mc="http://schemas.openxmlformats.org/markup-compatibility/2006">
          <mc:Choice Requires="x14">
            <control shapeId="19490" r:id="rId33" name="Check Box 34">
              <controlPr defaultSize="0" autoFill="0" autoLine="0" autoPict="0" macro="[0]!Sheet15.地域1234チェック34_Click">
                <anchor moveWithCells="1">
                  <from>
                    <xdr:col>5</xdr:col>
                    <xdr:colOff>676275</xdr:colOff>
                    <xdr:row>57</xdr:row>
                    <xdr:rowOff>9525</xdr:rowOff>
                  </from>
                  <to>
                    <xdr:col>6</xdr:col>
                    <xdr:colOff>66675</xdr:colOff>
                    <xdr:row>58</xdr:row>
                    <xdr:rowOff>0</xdr:rowOff>
                  </to>
                </anchor>
              </controlPr>
            </control>
          </mc:Choice>
        </mc:AlternateContent>
        <mc:AlternateContent xmlns:mc="http://schemas.openxmlformats.org/markup-compatibility/2006">
          <mc:Choice Requires="x14">
            <control shapeId="19491" r:id="rId34" name="Check Box 35">
              <controlPr defaultSize="0" autoFill="0" autoLine="0" autoPict="0" macro="[0]!Sheet15.地域1234チェック35_Click">
                <anchor moveWithCells="1">
                  <from>
                    <xdr:col>5</xdr:col>
                    <xdr:colOff>676275</xdr:colOff>
                    <xdr:row>58</xdr:row>
                    <xdr:rowOff>9525</xdr:rowOff>
                  </from>
                  <to>
                    <xdr:col>6</xdr:col>
                    <xdr:colOff>66675</xdr:colOff>
                    <xdr:row>59</xdr:row>
                    <xdr:rowOff>0</xdr:rowOff>
                  </to>
                </anchor>
              </controlPr>
            </control>
          </mc:Choice>
        </mc:AlternateContent>
        <mc:AlternateContent xmlns:mc="http://schemas.openxmlformats.org/markup-compatibility/2006">
          <mc:Choice Requires="x14">
            <control shapeId="19496" r:id="rId35" name="Check Box 40">
              <controlPr defaultSize="0" autoFill="0" autoLine="0" autoPict="0" macro="[0]!Sheet15.地域1234チェック40_Click">
                <anchor moveWithCells="1">
                  <from>
                    <xdr:col>5</xdr:col>
                    <xdr:colOff>676275</xdr:colOff>
                    <xdr:row>63</xdr:row>
                    <xdr:rowOff>9525</xdr:rowOff>
                  </from>
                  <to>
                    <xdr:col>6</xdr:col>
                    <xdr:colOff>66675</xdr:colOff>
                    <xdr:row>64</xdr:row>
                    <xdr:rowOff>0</xdr:rowOff>
                  </to>
                </anchor>
              </controlPr>
            </control>
          </mc:Choice>
        </mc:AlternateContent>
        <mc:AlternateContent xmlns:mc="http://schemas.openxmlformats.org/markup-compatibility/2006">
          <mc:Choice Requires="x14">
            <control shapeId="19497" r:id="rId36" name="Check Box 41">
              <controlPr defaultSize="0" autoFill="0" autoLine="0" autoPict="0" macro="[0]!Sheet15.地域1234チェック41_Click">
                <anchor moveWithCells="1">
                  <from>
                    <xdr:col>5</xdr:col>
                    <xdr:colOff>676275</xdr:colOff>
                    <xdr:row>64</xdr:row>
                    <xdr:rowOff>9525</xdr:rowOff>
                  </from>
                  <to>
                    <xdr:col>6</xdr:col>
                    <xdr:colOff>66675</xdr:colOff>
                    <xdr:row>65</xdr:row>
                    <xdr:rowOff>0</xdr:rowOff>
                  </to>
                </anchor>
              </controlPr>
            </control>
          </mc:Choice>
        </mc:AlternateContent>
        <mc:AlternateContent xmlns:mc="http://schemas.openxmlformats.org/markup-compatibility/2006">
          <mc:Choice Requires="x14">
            <control shapeId="19498" r:id="rId37" name="Check Box 42">
              <controlPr defaultSize="0" autoFill="0" autoLine="0" autoPict="0" macro="[0]!Sheet15.地域1234チェック42_Click">
                <anchor moveWithCells="1">
                  <from>
                    <xdr:col>5</xdr:col>
                    <xdr:colOff>676275</xdr:colOff>
                    <xdr:row>65</xdr:row>
                    <xdr:rowOff>9525</xdr:rowOff>
                  </from>
                  <to>
                    <xdr:col>6</xdr:col>
                    <xdr:colOff>66675</xdr:colOff>
                    <xdr:row>66</xdr:row>
                    <xdr:rowOff>0</xdr:rowOff>
                  </to>
                </anchor>
              </controlPr>
            </control>
          </mc:Choice>
        </mc:AlternateContent>
        <mc:AlternateContent xmlns:mc="http://schemas.openxmlformats.org/markup-compatibility/2006">
          <mc:Choice Requires="x14">
            <control shapeId="19499" r:id="rId38" name="Check Box 43">
              <controlPr defaultSize="0" autoFill="0" autoLine="0" autoPict="0" macro="[0]!Sheet15.地域1234チェック43_Click">
                <anchor moveWithCells="1">
                  <from>
                    <xdr:col>5</xdr:col>
                    <xdr:colOff>676275</xdr:colOff>
                    <xdr:row>66</xdr:row>
                    <xdr:rowOff>9525</xdr:rowOff>
                  </from>
                  <to>
                    <xdr:col>6</xdr:col>
                    <xdr:colOff>66675</xdr:colOff>
                    <xdr:row>67</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9">
        <x14:dataValidation type="list" allowBlank="1" showInputMessage="1" showErrorMessage="1" xr:uid="{65FB77B6-B1A6-4C86-9DD8-328D71B05CC0}">
          <x14:formula1>
            <xm:f>プルダウン項目_非表示!$I$8:$I$9</xm:f>
          </x14:formula1>
          <xm:sqref>C38</xm:sqref>
        </x14:dataValidation>
        <x14:dataValidation type="list" allowBlank="1" showInputMessage="1" showErrorMessage="1" xr:uid="{9FF6C8C2-B5A7-4BF7-95AA-B83037041D5E}">
          <x14:formula1>
            <xm:f>プルダウン項目_非表示!$H$8:$H$9</xm:f>
          </x14:formula1>
          <xm:sqref>C29</xm:sqref>
        </x14:dataValidation>
        <x14:dataValidation type="list" allowBlank="1" showInputMessage="1" showErrorMessage="1" xr:uid="{205C16B3-73F2-4A8B-9932-53E471835D0B}">
          <x14:formula1>
            <xm:f>ドアのプルダウン_非表示!$B$4:$B$6</xm:f>
          </x14:formula1>
          <xm:sqref>D38:E38</xm:sqref>
        </x14:dataValidation>
        <x14:dataValidation type="list" allowBlank="1" showInputMessage="1" showErrorMessage="1" xr:uid="{52697FBA-9734-4C5E-8156-C3B6E15668B0}">
          <x14:formula1>
            <xm:f>窓のプルダウン_非表示!$C$7:$C$9</xm:f>
          </x14:formula1>
          <xm:sqref>D29:E29</xm:sqref>
        </x14:dataValidation>
        <x14:dataValidation type="list" allowBlank="1" showInputMessage="1" showErrorMessage="1" xr:uid="{8A19DE79-2163-4765-A4C7-CD1B0241A58C}">
          <x14:formula1>
            <xm:f>プルダウン項目_非表示!$C$8:$C$9</xm:f>
          </x14:formula1>
          <xm:sqref>D13:D19</xm:sqref>
        </x14:dataValidation>
        <x14:dataValidation type="list" allowBlank="1" showInputMessage="1" showErrorMessage="1" xr:uid="{D615C351-E257-4E7D-9EF4-96687F3D4195}">
          <x14:formula1>
            <xm:f>断熱材_非表示!$G$6:$G$87</xm:f>
          </x14:formula1>
          <xm:sqref>F13:G19</xm:sqref>
        </x14:dataValidation>
        <x14:dataValidation type="list" allowBlank="1" showInputMessage="1" showErrorMessage="1" xr:uid="{D523F1BE-37B1-47CE-852E-F077670ABE4A}">
          <x14:formula1>
            <xm:f>プルダウン項目_非表示!$D$8:$D$10</xm:f>
          </x14:formula1>
          <xm:sqref>E13:E16</xm:sqref>
        </x14:dataValidation>
        <x14:dataValidation type="list" allowBlank="1" showInputMessage="1" showErrorMessage="1" xr:uid="{36E7FA38-62F6-4C0E-BE69-5DA140131F4A}">
          <x14:formula1>
            <xm:f>プルダウン項目_非表示!$E$8:$E$9</xm:f>
          </x14:formula1>
          <xm:sqref>E17</xm:sqref>
        </x14:dataValidation>
        <x14:dataValidation type="list" allowBlank="1" showInputMessage="1" showErrorMessage="1" xr:uid="{01DB81BB-908B-4DBD-9B85-6A9D2CB579C0}">
          <x14:formula1>
            <xm:f>プルダウン項目_非表示!$B$8:$B$9</xm:f>
          </x14:formula1>
          <xm:sqref>C13:C14 C16:C19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8101B-BB5D-477E-8E41-2D5566857BF2}">
  <sheetPr codeName="Sheet9">
    <tabColor theme="0" tint="-0.14999847407452621"/>
  </sheetPr>
  <dimension ref="B1:BH62"/>
  <sheetViews>
    <sheetView showGridLines="0" topLeftCell="M1" zoomScale="85" zoomScaleNormal="85" workbookViewId="0">
      <selection activeCell="R4" sqref="R4"/>
    </sheetView>
  </sheetViews>
  <sheetFormatPr defaultColWidth="9" defaultRowHeight="19.5" customHeight="1"/>
  <cols>
    <col min="1" max="1" width="3.75" style="61" customWidth="1"/>
    <col min="2" max="2" width="13.125" style="60" bestFit="1" customWidth="1"/>
    <col min="3" max="3" width="36.75" style="60" bestFit="1" customWidth="1"/>
    <col min="4" max="4" width="1.625" style="60" customWidth="1"/>
    <col min="5" max="5" width="4.25" style="60" customWidth="1"/>
    <col min="6" max="6" width="25.375" style="60" bestFit="1" customWidth="1"/>
    <col min="7" max="7" width="1.625" style="60" customWidth="1"/>
    <col min="8" max="8" width="44.875" style="60" customWidth="1"/>
    <col min="9" max="9" width="1.625" style="60" customWidth="1"/>
    <col min="10" max="10" width="38" style="60" bestFit="1" customWidth="1"/>
    <col min="11" max="11" width="1.625" style="60" customWidth="1"/>
    <col min="12" max="12" width="38" style="60" bestFit="1" customWidth="1"/>
    <col min="13" max="13" width="1.625" style="60" customWidth="1"/>
    <col min="14" max="14" width="38" style="60" bestFit="1" customWidth="1"/>
    <col min="15" max="15" width="1.625" style="60" customWidth="1"/>
    <col min="16" max="16" width="4.25" style="60" customWidth="1"/>
    <col min="17" max="17" width="79.75" style="60" customWidth="1"/>
    <col min="18" max="18" width="12.75" style="60" bestFit="1" customWidth="1"/>
    <col min="19" max="21" width="11.25" style="60" bestFit="1" customWidth="1"/>
    <col min="22" max="25" width="4.125" style="60" customWidth="1"/>
    <col min="26" max="35" width="9" style="61"/>
    <col min="36" max="36" width="23.125" style="61" customWidth="1"/>
    <col min="37" max="40" width="0" style="61" hidden="1" customWidth="1"/>
    <col min="41" max="41" width="13.875" style="61" hidden="1" customWidth="1"/>
    <col min="42" max="44" width="11.25" style="61" bestFit="1" customWidth="1"/>
    <col min="45" max="45" width="9" style="61"/>
    <col min="46" max="49" width="0" style="61" hidden="1" customWidth="1"/>
    <col min="50" max="50" width="17.125" style="61" hidden="1" customWidth="1"/>
    <col min="51" max="60" width="0" style="61" hidden="1" customWidth="1"/>
    <col min="61" max="16384" width="9" style="61"/>
  </cols>
  <sheetData>
    <row r="1" spans="2:60" ht="19.5" customHeight="1">
      <c r="C1" s="60" t="s">
        <v>238</v>
      </c>
      <c r="AT1" s="61" t="s">
        <v>390</v>
      </c>
    </row>
    <row r="2" spans="2:60" ht="19.5" customHeight="1">
      <c r="C2" s="60" t="s">
        <v>239</v>
      </c>
    </row>
    <row r="3" spans="2:60" ht="19.5" customHeight="1">
      <c r="C3" s="60" t="s">
        <v>240</v>
      </c>
    </row>
    <row r="4" spans="2:60" ht="19.5" customHeight="1">
      <c r="R4" s="60" t="s">
        <v>4261</v>
      </c>
      <c r="AZ4" s="92" t="s">
        <v>273</v>
      </c>
      <c r="BA4" s="93"/>
      <c r="BB4" s="93"/>
      <c r="BC4" s="94" t="s">
        <v>334</v>
      </c>
      <c r="BD4" s="93"/>
      <c r="BE4" s="93"/>
      <c r="BF4" s="94" t="s">
        <v>335</v>
      </c>
      <c r="BG4" s="93"/>
      <c r="BH4" s="93"/>
    </row>
    <row r="5" spans="2:60" ht="33">
      <c r="B5" s="60" t="s">
        <v>241</v>
      </c>
      <c r="R5" s="60" t="s">
        <v>264</v>
      </c>
      <c r="Z5" s="76"/>
      <c r="AA5" s="519" t="s">
        <v>266</v>
      </c>
      <c r="AB5" s="519"/>
      <c r="AC5" s="518" t="s">
        <v>267</v>
      </c>
      <c r="AD5" s="519"/>
      <c r="AE5" s="520"/>
      <c r="AF5" s="521" t="s">
        <v>314</v>
      </c>
      <c r="AG5" s="519"/>
      <c r="AH5" s="519"/>
      <c r="AI5" s="520"/>
      <c r="AJ5" s="88" t="s">
        <v>315</v>
      </c>
      <c r="AK5" s="83"/>
      <c r="AL5" s="83"/>
      <c r="AM5" s="83"/>
      <c r="AN5" s="83"/>
      <c r="AO5" s="83"/>
      <c r="AP5" s="522" t="s">
        <v>316</v>
      </c>
      <c r="AQ5" s="521"/>
      <c r="AR5" s="521"/>
      <c r="AT5" s="519" t="s">
        <v>266</v>
      </c>
      <c r="AU5" s="519"/>
      <c r="AV5" s="518" t="s">
        <v>267</v>
      </c>
      <c r="AW5" s="519"/>
      <c r="AX5" s="520"/>
      <c r="AY5" s="521" t="s">
        <v>314</v>
      </c>
      <c r="AZ5" s="519"/>
      <c r="BA5" s="519"/>
      <c r="BB5" s="520"/>
    </row>
    <row r="6" spans="2:60" ht="19.5" customHeight="1">
      <c r="B6" s="60" t="s">
        <v>242</v>
      </c>
      <c r="C6" s="62" t="s">
        <v>248</v>
      </c>
      <c r="D6" s="63"/>
      <c r="E6" s="63"/>
      <c r="F6" s="64" t="s">
        <v>246</v>
      </c>
      <c r="G6" s="63"/>
      <c r="H6" s="64" t="s">
        <v>343</v>
      </c>
      <c r="I6" s="63"/>
      <c r="J6" s="64" t="s">
        <v>349</v>
      </c>
      <c r="K6" s="63"/>
      <c r="M6" s="63"/>
      <c r="N6" s="64" t="s">
        <v>258</v>
      </c>
      <c r="O6" s="63"/>
      <c r="P6" s="63"/>
      <c r="Q6" s="63"/>
      <c r="R6" s="68" t="s">
        <v>263</v>
      </c>
      <c r="S6" s="120" t="s">
        <v>370</v>
      </c>
      <c r="T6" s="120" t="s">
        <v>371</v>
      </c>
      <c r="U6" s="120" t="s">
        <v>385</v>
      </c>
      <c r="V6" s="63"/>
      <c r="W6" s="63"/>
      <c r="X6" s="63"/>
      <c r="Y6" s="63"/>
      <c r="Z6" s="76"/>
      <c r="AA6" s="519"/>
      <c r="AB6" s="519"/>
      <c r="AC6" s="518"/>
      <c r="AD6" s="519"/>
      <c r="AE6" s="520"/>
      <c r="AF6" s="77" t="s">
        <v>268</v>
      </c>
      <c r="AG6" s="523" t="s">
        <v>269</v>
      </c>
      <c r="AH6" s="524"/>
      <c r="AI6" s="525"/>
      <c r="AJ6" s="87" t="s">
        <v>313</v>
      </c>
      <c r="AK6" s="526" t="s">
        <v>270</v>
      </c>
      <c r="AL6" s="526"/>
      <c r="AM6" s="524" t="s">
        <v>271</v>
      </c>
      <c r="AN6" s="524"/>
      <c r="AO6" s="78" t="s">
        <v>272</v>
      </c>
      <c r="AP6" s="89" t="s">
        <v>317</v>
      </c>
      <c r="AQ6" s="90" t="s">
        <v>318</v>
      </c>
      <c r="AR6" s="90" t="s">
        <v>386</v>
      </c>
      <c r="AT6" s="519"/>
      <c r="AU6" s="519"/>
      <c r="AV6" s="518"/>
      <c r="AW6" s="519"/>
      <c r="AX6" s="520"/>
      <c r="AY6" s="77" t="s">
        <v>268</v>
      </c>
      <c r="AZ6" s="523" t="s">
        <v>269</v>
      </c>
      <c r="BA6" s="524"/>
      <c r="BB6" s="525"/>
    </row>
    <row r="7" spans="2:60" ht="19.5" customHeight="1">
      <c r="B7" s="60" t="s">
        <v>243</v>
      </c>
      <c r="C7" s="65" t="s">
        <v>246</v>
      </c>
      <c r="D7" s="66"/>
      <c r="E7" s="72">
        <v>1</v>
      </c>
      <c r="F7" s="65" t="s">
        <v>256</v>
      </c>
      <c r="G7" s="72"/>
      <c r="H7" s="65" t="s">
        <v>320</v>
      </c>
      <c r="I7" s="68"/>
      <c r="J7" s="65" t="s">
        <v>363</v>
      </c>
      <c r="K7" s="68"/>
      <c r="M7" s="68"/>
      <c r="N7" s="65" t="s">
        <v>372</v>
      </c>
      <c r="O7" s="68"/>
      <c r="P7" s="72">
        <v>1</v>
      </c>
      <c r="Q7" s="65" t="str">
        <f t="shared" ref="Q7:Q14" si="0">C$7&amp;"_"&amp;F$7&amp;"_"&amp;H7</f>
        <v>樹脂製建具又は木製建具_三層複層ガラス_Low_E２枚_ガスの封入されている_13 ㎜以上</v>
      </c>
      <c r="R7" s="421">
        <f>ROUND(AJ7,1)</f>
        <v>1.6</v>
      </c>
      <c r="S7" s="82">
        <f>AP7</f>
        <v>0.39</v>
      </c>
      <c r="T7" s="82">
        <f>AQ7</f>
        <v>0.24</v>
      </c>
      <c r="U7" s="82">
        <f>AR7</f>
        <v>0</v>
      </c>
      <c r="V7" s="68"/>
      <c r="W7" s="68"/>
      <c r="X7" s="68"/>
      <c r="Y7" s="68"/>
      <c r="Z7" s="76"/>
      <c r="AA7" s="514" t="s">
        <v>273</v>
      </c>
      <c r="AB7" s="515"/>
      <c r="AC7" s="504" t="s">
        <v>274</v>
      </c>
      <c r="AD7" s="505"/>
      <c r="AE7" s="509" t="s">
        <v>275</v>
      </c>
      <c r="AF7" s="508" t="s">
        <v>276</v>
      </c>
      <c r="AG7" s="490" t="s">
        <v>277</v>
      </c>
      <c r="AH7" s="491"/>
      <c r="AI7" s="492"/>
      <c r="AJ7" s="79">
        <v>1.6</v>
      </c>
      <c r="AK7" s="493">
        <v>1.49</v>
      </c>
      <c r="AL7" s="494"/>
      <c r="AM7" s="493">
        <v>1.43</v>
      </c>
      <c r="AN7" s="494"/>
      <c r="AO7" s="80">
        <v>1.38</v>
      </c>
      <c r="AP7" s="79">
        <v>0.39</v>
      </c>
      <c r="AQ7" s="79">
        <v>0.24</v>
      </c>
      <c r="AR7" s="79"/>
      <c r="AT7" s="91" t="s">
        <v>273</v>
      </c>
      <c r="AU7" s="95"/>
      <c r="AV7" s="96" t="s">
        <v>274</v>
      </c>
      <c r="AW7" s="97"/>
      <c r="AX7" s="116" t="s">
        <v>275</v>
      </c>
      <c r="AY7" s="113" t="s">
        <v>276</v>
      </c>
      <c r="AZ7" s="490" t="s">
        <v>277</v>
      </c>
      <c r="BA7" s="491"/>
      <c r="BB7" s="492"/>
      <c r="BC7" s="490" t="s">
        <v>288</v>
      </c>
      <c r="BD7" s="491"/>
      <c r="BE7" s="492"/>
    </row>
    <row r="8" spans="2:60" ht="19.5" customHeight="1">
      <c r="C8" s="65" t="s">
        <v>254</v>
      </c>
      <c r="D8" s="66"/>
      <c r="E8" s="72">
        <v>2</v>
      </c>
      <c r="F8" s="65" t="s">
        <v>257</v>
      </c>
      <c r="G8" s="72"/>
      <c r="H8" s="65" t="s">
        <v>364</v>
      </c>
      <c r="I8" s="68"/>
      <c r="J8" s="65" t="s">
        <v>342</v>
      </c>
      <c r="K8" s="68"/>
      <c r="M8" s="68"/>
      <c r="N8" s="65" t="s">
        <v>373</v>
      </c>
      <c r="O8" s="68"/>
      <c r="P8" s="68"/>
      <c r="Q8" s="65" t="str">
        <f t="shared" si="0"/>
        <v>樹脂製建具又は木製建具_三層複層ガラス_Low_E２枚_ガスの封入されている_10 ㎜以上 13 ㎜未満</v>
      </c>
      <c r="R8" s="421">
        <f t="shared" ref="R8:R61" si="1">ROUND(AJ8,1)</f>
        <v>1.7</v>
      </c>
      <c r="S8" s="82">
        <f t="shared" ref="S8:S31" si="2">AP8</f>
        <v>0.39</v>
      </c>
      <c r="T8" s="82">
        <f t="shared" ref="T8:T31" si="3">AQ8</f>
        <v>0.24</v>
      </c>
      <c r="U8" s="82">
        <f t="shared" ref="U8:U31" si="4">AR8</f>
        <v>0</v>
      </c>
      <c r="V8" s="68"/>
      <c r="W8" s="68"/>
      <c r="X8" s="68"/>
      <c r="Y8" s="68"/>
      <c r="Z8" s="76"/>
      <c r="AA8" s="514"/>
      <c r="AB8" s="515"/>
      <c r="AC8" s="504"/>
      <c r="AD8" s="505"/>
      <c r="AE8" s="509"/>
      <c r="AF8" s="509"/>
      <c r="AG8" s="490" t="s">
        <v>278</v>
      </c>
      <c r="AH8" s="491"/>
      <c r="AI8" s="492"/>
      <c r="AJ8" s="79">
        <v>1.7</v>
      </c>
      <c r="AK8" s="493">
        <v>1.58</v>
      </c>
      <c r="AL8" s="494"/>
      <c r="AM8" s="493">
        <v>1.51</v>
      </c>
      <c r="AN8" s="494"/>
      <c r="AO8" s="80">
        <v>1.46</v>
      </c>
      <c r="AP8" s="79">
        <v>0.39</v>
      </c>
      <c r="AQ8" s="79">
        <v>0.24</v>
      </c>
      <c r="AR8" s="79"/>
      <c r="AT8" s="91"/>
      <c r="AU8" s="95"/>
      <c r="AV8" s="96"/>
      <c r="AW8" s="97"/>
      <c r="AX8" s="116"/>
      <c r="AY8" s="115"/>
      <c r="AZ8" s="490" t="s">
        <v>278</v>
      </c>
      <c r="BA8" s="491"/>
      <c r="BB8" s="492"/>
      <c r="BC8" s="490" t="s">
        <v>300</v>
      </c>
      <c r="BD8" s="491"/>
      <c r="BE8" s="492"/>
    </row>
    <row r="9" spans="2:60" ht="19.5" customHeight="1">
      <c r="C9" s="69" t="s">
        <v>247</v>
      </c>
      <c r="D9" s="70"/>
      <c r="E9" s="72">
        <v>3</v>
      </c>
      <c r="F9" s="65" t="s">
        <v>249</v>
      </c>
      <c r="G9" s="68"/>
      <c r="H9" s="65" t="s">
        <v>365</v>
      </c>
      <c r="I9" s="68"/>
      <c r="J9" s="65" t="s">
        <v>337</v>
      </c>
      <c r="K9" s="68"/>
      <c r="M9" s="68"/>
      <c r="O9" s="68"/>
      <c r="P9" s="68"/>
      <c r="Q9" s="65" t="str">
        <f t="shared" si="0"/>
        <v>樹脂製建具又は木製建具_三層複層ガラス_Low_E２枚_ガスの封入されている_7 ㎜以上 10 ㎜未満</v>
      </c>
      <c r="R9" s="421">
        <f t="shared" si="1"/>
        <v>1.9</v>
      </c>
      <c r="S9" s="82">
        <f t="shared" si="2"/>
        <v>0.39</v>
      </c>
      <c r="T9" s="82">
        <f t="shared" si="3"/>
        <v>0.24</v>
      </c>
      <c r="U9" s="82">
        <f t="shared" si="4"/>
        <v>0</v>
      </c>
      <c r="V9" s="71"/>
      <c r="W9" s="71"/>
      <c r="X9" s="71"/>
      <c r="Y9" s="71"/>
      <c r="Z9" s="76"/>
      <c r="AA9" s="514"/>
      <c r="AB9" s="515"/>
      <c r="AC9" s="504"/>
      <c r="AD9" s="505"/>
      <c r="AE9" s="509"/>
      <c r="AF9" s="509"/>
      <c r="AG9" s="490" t="s">
        <v>279</v>
      </c>
      <c r="AH9" s="491"/>
      <c r="AI9" s="492"/>
      <c r="AJ9" s="79">
        <v>1.9</v>
      </c>
      <c r="AK9" s="493">
        <v>1.75</v>
      </c>
      <c r="AL9" s="494"/>
      <c r="AM9" s="493">
        <v>1.66</v>
      </c>
      <c r="AN9" s="494"/>
      <c r="AO9" s="80">
        <v>1.6</v>
      </c>
      <c r="AP9" s="79">
        <v>0.39</v>
      </c>
      <c r="AQ9" s="79">
        <v>0.24</v>
      </c>
      <c r="AR9" s="79"/>
      <c r="AT9" s="91"/>
      <c r="AU9" s="95"/>
      <c r="AV9" s="96"/>
      <c r="AW9" s="97"/>
      <c r="AX9" s="116"/>
      <c r="AY9" s="115"/>
      <c r="AZ9" s="490" t="s">
        <v>279</v>
      </c>
      <c r="BA9" s="491"/>
      <c r="BB9" s="492"/>
      <c r="BC9" s="490" t="s">
        <v>293</v>
      </c>
      <c r="BD9" s="491"/>
      <c r="BE9" s="492"/>
    </row>
    <row r="10" spans="2:60" ht="19.5" customHeight="1">
      <c r="C10" s="67"/>
      <c r="D10" s="71"/>
      <c r="E10" s="72">
        <v>4</v>
      </c>
      <c r="F10" s="65" t="s">
        <v>4076</v>
      </c>
      <c r="G10" s="68"/>
      <c r="H10" s="65" t="s">
        <v>321</v>
      </c>
      <c r="I10" s="68"/>
      <c r="J10" s="65" t="s">
        <v>338</v>
      </c>
      <c r="K10" s="68"/>
      <c r="M10" s="68"/>
      <c r="N10" s="64" t="s">
        <v>259</v>
      </c>
      <c r="O10" s="68"/>
      <c r="P10" s="68"/>
      <c r="Q10" s="65" t="str">
        <f t="shared" si="0"/>
        <v>樹脂製建具又は木製建具_三層複層ガラス_Low_E２枚_ガスの封入されている_7 ㎜未満</v>
      </c>
      <c r="R10" s="421">
        <f t="shared" si="1"/>
        <v>2.2000000000000002</v>
      </c>
      <c r="S10" s="82">
        <f t="shared" si="2"/>
        <v>0.39</v>
      </c>
      <c r="T10" s="82">
        <f t="shared" si="3"/>
        <v>0.24</v>
      </c>
      <c r="U10" s="82">
        <f t="shared" si="4"/>
        <v>0</v>
      </c>
      <c r="V10" s="71"/>
      <c r="W10" s="71"/>
      <c r="X10" s="71"/>
      <c r="Y10" s="71"/>
      <c r="Z10" s="76"/>
      <c r="AA10" s="514"/>
      <c r="AB10" s="515"/>
      <c r="AC10" s="504"/>
      <c r="AD10" s="505"/>
      <c r="AE10" s="509"/>
      <c r="AF10" s="510"/>
      <c r="AG10" s="490" t="s">
        <v>280</v>
      </c>
      <c r="AH10" s="491"/>
      <c r="AI10" s="492"/>
      <c r="AJ10" s="79">
        <v>2.15</v>
      </c>
      <c r="AK10" s="493">
        <v>1.96</v>
      </c>
      <c r="AL10" s="494"/>
      <c r="AM10" s="493">
        <v>1.86</v>
      </c>
      <c r="AN10" s="494"/>
      <c r="AO10" s="80">
        <v>1.77</v>
      </c>
      <c r="AP10" s="79">
        <v>0.39</v>
      </c>
      <c r="AQ10" s="79">
        <v>0.24</v>
      </c>
      <c r="AR10" s="79"/>
      <c r="AT10" s="91"/>
      <c r="AU10" s="95"/>
      <c r="AV10" s="96"/>
      <c r="AW10" s="97"/>
      <c r="AX10" s="116"/>
      <c r="AY10" s="114"/>
      <c r="AZ10" s="490" t="s">
        <v>280</v>
      </c>
      <c r="BA10" s="491"/>
      <c r="BB10" s="492"/>
      <c r="BC10" s="490"/>
      <c r="BD10" s="491"/>
      <c r="BE10" s="492"/>
    </row>
    <row r="11" spans="2:60" ht="19.5" customHeight="1">
      <c r="C11" s="65" t="s">
        <v>372</v>
      </c>
      <c r="E11" s="72">
        <v>5</v>
      </c>
      <c r="F11" s="65" t="s">
        <v>4077</v>
      </c>
      <c r="H11" s="65" t="s">
        <v>322</v>
      </c>
      <c r="I11" s="68"/>
      <c r="J11" s="65" t="s">
        <v>339</v>
      </c>
      <c r="K11" s="68"/>
      <c r="M11" s="68"/>
      <c r="N11" s="65" t="s">
        <v>372</v>
      </c>
      <c r="O11" s="68"/>
      <c r="P11" s="68"/>
      <c r="Q11" s="73" t="str">
        <f t="shared" si="0"/>
        <v>樹脂製建具又は木製建具_三層複層ガラス_Low_E２枚_ガスの封入されていない_13 ㎜以上</v>
      </c>
      <c r="R11" s="421">
        <f t="shared" si="1"/>
        <v>1.7</v>
      </c>
      <c r="S11" s="82">
        <f t="shared" si="2"/>
        <v>0.39</v>
      </c>
      <c r="T11" s="82">
        <f t="shared" si="3"/>
        <v>0.24</v>
      </c>
      <c r="U11" s="82">
        <f t="shared" si="4"/>
        <v>0</v>
      </c>
      <c r="Z11" s="76"/>
      <c r="AA11" s="514"/>
      <c r="AB11" s="515"/>
      <c r="AC11" s="504"/>
      <c r="AD11" s="505"/>
      <c r="AE11" s="509"/>
      <c r="AF11" s="508" t="s">
        <v>281</v>
      </c>
      <c r="AG11" s="490" t="s">
        <v>277</v>
      </c>
      <c r="AH11" s="491"/>
      <c r="AI11" s="492"/>
      <c r="AJ11" s="79">
        <v>1.7</v>
      </c>
      <c r="AK11" s="493">
        <v>1.58</v>
      </c>
      <c r="AL11" s="494"/>
      <c r="AM11" s="493">
        <v>1.51</v>
      </c>
      <c r="AN11" s="494"/>
      <c r="AO11" s="80">
        <v>1.46</v>
      </c>
      <c r="AP11" s="79">
        <v>0.39</v>
      </c>
      <c r="AQ11" s="79">
        <v>0.24</v>
      </c>
      <c r="AR11" s="79"/>
      <c r="AT11" s="91"/>
      <c r="AU11" s="95"/>
      <c r="AV11" s="96"/>
      <c r="AW11" s="97"/>
      <c r="AX11" s="116"/>
      <c r="AY11" s="113" t="s">
        <v>281</v>
      </c>
      <c r="AZ11" s="490" t="s">
        <v>277</v>
      </c>
      <c r="BA11" s="491"/>
      <c r="BB11" s="492"/>
      <c r="BC11" s="490" t="s">
        <v>301</v>
      </c>
      <c r="BD11" s="491"/>
      <c r="BE11" s="492"/>
    </row>
    <row r="12" spans="2:60" ht="19.5" customHeight="1">
      <c r="C12" s="65" t="s">
        <v>373</v>
      </c>
      <c r="E12" s="72">
        <v>6</v>
      </c>
      <c r="F12" s="65" t="s">
        <v>250</v>
      </c>
      <c r="H12" s="65" t="s">
        <v>366</v>
      </c>
      <c r="J12" s="65" t="s">
        <v>340</v>
      </c>
      <c r="N12" s="65" t="s">
        <v>373</v>
      </c>
      <c r="Q12" s="73" t="str">
        <f t="shared" si="0"/>
        <v>樹脂製建具又は木製建具_三層複層ガラス_Low_E２枚_ガスの封入されていない_9 ㎜以上 13 ㎜未満</v>
      </c>
      <c r="R12" s="421">
        <f t="shared" si="1"/>
        <v>1.9</v>
      </c>
      <c r="S12" s="82">
        <f t="shared" si="2"/>
        <v>0.39</v>
      </c>
      <c r="T12" s="82">
        <f t="shared" si="3"/>
        <v>0.24</v>
      </c>
      <c r="U12" s="82">
        <f t="shared" si="4"/>
        <v>0</v>
      </c>
      <c r="Z12" s="76"/>
      <c r="AA12" s="514"/>
      <c r="AB12" s="515"/>
      <c r="AC12" s="504"/>
      <c r="AD12" s="505"/>
      <c r="AE12" s="509"/>
      <c r="AF12" s="509"/>
      <c r="AG12" s="490" t="s">
        <v>282</v>
      </c>
      <c r="AH12" s="491"/>
      <c r="AI12" s="492"/>
      <c r="AJ12" s="79">
        <v>1.9</v>
      </c>
      <c r="AK12" s="493">
        <v>1.75</v>
      </c>
      <c r="AL12" s="494"/>
      <c r="AM12" s="493">
        <v>1.66</v>
      </c>
      <c r="AN12" s="494"/>
      <c r="AO12" s="80">
        <v>1.6</v>
      </c>
      <c r="AP12" s="79">
        <v>0.39</v>
      </c>
      <c r="AQ12" s="79">
        <v>0.24</v>
      </c>
      <c r="AR12" s="79"/>
      <c r="AT12" s="91"/>
      <c r="AU12" s="95"/>
      <c r="AV12" s="96"/>
      <c r="AW12" s="97"/>
      <c r="AX12" s="116"/>
      <c r="AY12" s="115"/>
      <c r="AZ12" s="490" t="s">
        <v>282</v>
      </c>
      <c r="BA12" s="491"/>
      <c r="BB12" s="492"/>
      <c r="BC12" s="490" t="s">
        <v>302</v>
      </c>
      <c r="BD12" s="491"/>
      <c r="BE12" s="492"/>
    </row>
    <row r="13" spans="2:60" ht="19.5" customHeight="1">
      <c r="H13" s="65" t="s">
        <v>367</v>
      </c>
      <c r="J13" s="65" t="s">
        <v>341</v>
      </c>
      <c r="Q13" s="73" t="str">
        <f t="shared" si="0"/>
        <v>樹脂製建具又は木製建具_三層複層ガラス_Low_E２枚_ガスの封入されていない_7 ㎜以上 9 ㎜未満</v>
      </c>
      <c r="R13" s="421">
        <f t="shared" si="1"/>
        <v>2.2000000000000002</v>
      </c>
      <c r="S13" s="82">
        <f t="shared" si="2"/>
        <v>0.39</v>
      </c>
      <c r="T13" s="82">
        <f t="shared" si="3"/>
        <v>0.24</v>
      </c>
      <c r="U13" s="82">
        <f t="shared" si="4"/>
        <v>0</v>
      </c>
      <c r="Z13" s="76"/>
      <c r="AA13" s="514"/>
      <c r="AB13" s="515"/>
      <c r="AC13" s="504"/>
      <c r="AD13" s="505"/>
      <c r="AE13" s="509"/>
      <c r="AF13" s="509"/>
      <c r="AG13" s="490" t="s">
        <v>283</v>
      </c>
      <c r="AH13" s="491"/>
      <c r="AI13" s="492"/>
      <c r="AJ13" s="79">
        <v>2.15</v>
      </c>
      <c r="AK13" s="493">
        <v>1.96</v>
      </c>
      <c r="AL13" s="494"/>
      <c r="AM13" s="493">
        <v>1.86</v>
      </c>
      <c r="AN13" s="494"/>
      <c r="AO13" s="80">
        <v>1.77</v>
      </c>
      <c r="AP13" s="79">
        <v>0.39</v>
      </c>
      <c r="AQ13" s="79">
        <v>0.24</v>
      </c>
      <c r="AR13" s="79"/>
      <c r="AT13" s="91"/>
      <c r="AU13" s="95"/>
      <c r="AV13" s="96"/>
      <c r="AW13" s="97"/>
      <c r="AX13" s="116"/>
      <c r="AY13" s="115"/>
      <c r="AZ13" s="490" t="s">
        <v>283</v>
      </c>
      <c r="BA13" s="491"/>
      <c r="BB13" s="492"/>
      <c r="BC13" s="490" t="s">
        <v>292</v>
      </c>
      <c r="BD13" s="491"/>
      <c r="BE13" s="492"/>
    </row>
    <row r="14" spans="2:60" ht="19.5" customHeight="1">
      <c r="F14" s="64" t="s">
        <v>255</v>
      </c>
      <c r="H14" s="65" t="s">
        <v>323</v>
      </c>
      <c r="J14" s="68"/>
      <c r="N14" s="64" t="s">
        <v>252</v>
      </c>
      <c r="Q14" s="73" t="str">
        <f t="shared" si="0"/>
        <v>樹脂製建具又は木製建具_三層複層ガラス_Low_E２枚_ガスの封入されていない_7 ㎜未満</v>
      </c>
      <c r="R14" s="421">
        <f t="shared" si="1"/>
        <v>2.2999999999999998</v>
      </c>
      <c r="S14" s="82">
        <f t="shared" si="2"/>
        <v>0.39</v>
      </c>
      <c r="T14" s="82">
        <f t="shared" si="3"/>
        <v>0.24</v>
      </c>
      <c r="U14" s="82">
        <f t="shared" si="4"/>
        <v>0</v>
      </c>
      <c r="Z14" s="76"/>
      <c r="AA14" s="514"/>
      <c r="AB14" s="515"/>
      <c r="AC14" s="504"/>
      <c r="AD14" s="505"/>
      <c r="AE14" s="510"/>
      <c r="AF14" s="510"/>
      <c r="AG14" s="490" t="s">
        <v>280</v>
      </c>
      <c r="AH14" s="491"/>
      <c r="AI14" s="492"/>
      <c r="AJ14" s="79">
        <v>2.33</v>
      </c>
      <c r="AK14" s="493">
        <v>2.11</v>
      </c>
      <c r="AL14" s="494"/>
      <c r="AM14" s="493">
        <v>1.99</v>
      </c>
      <c r="AN14" s="494"/>
      <c r="AO14" s="80">
        <v>1.89</v>
      </c>
      <c r="AP14" s="79">
        <v>0.39</v>
      </c>
      <c r="AQ14" s="79">
        <v>0.24</v>
      </c>
      <c r="AR14" s="79"/>
      <c r="AT14" s="91"/>
      <c r="AU14" s="95"/>
      <c r="AV14" s="96"/>
      <c r="AW14" s="97"/>
      <c r="AX14" s="117"/>
      <c r="AY14" s="114"/>
      <c r="AZ14" s="490" t="s">
        <v>280</v>
      </c>
      <c r="BA14" s="491"/>
      <c r="BB14" s="492"/>
      <c r="BC14" s="490" t="s">
        <v>293</v>
      </c>
      <c r="BD14" s="491"/>
      <c r="BE14" s="492"/>
    </row>
    <row r="15" spans="2:60" ht="19.5" customHeight="1">
      <c r="E15" s="72">
        <v>1</v>
      </c>
      <c r="F15" s="65" t="s">
        <v>256</v>
      </c>
      <c r="H15" s="68"/>
      <c r="J15" s="68"/>
      <c r="N15" s="65" t="s">
        <v>244</v>
      </c>
      <c r="P15" s="72">
        <v>2</v>
      </c>
      <c r="Q15" s="65" t="str">
        <f t="shared" ref="Q15:Q20" si="5">C$7&amp;"_"&amp;F$8&amp;"_"&amp;H17</f>
        <v>樹脂製建具又は木製建具_三層複層ガラス_Low_E１枚_ガスの封入されている_10 ㎜以上</v>
      </c>
      <c r="R15" s="421">
        <f t="shared" si="1"/>
        <v>1.9</v>
      </c>
      <c r="S15" s="82">
        <f t="shared" si="2"/>
        <v>0.42</v>
      </c>
      <c r="T15" s="82">
        <f t="shared" si="3"/>
        <v>0.27</v>
      </c>
      <c r="U15" s="82">
        <f t="shared" si="4"/>
        <v>0</v>
      </c>
      <c r="Z15" s="76"/>
      <c r="AA15" s="514"/>
      <c r="AB15" s="515"/>
      <c r="AC15" s="504"/>
      <c r="AD15" s="505"/>
      <c r="AE15" s="508" t="s">
        <v>284</v>
      </c>
      <c r="AF15" s="508" t="s">
        <v>276</v>
      </c>
      <c r="AG15" s="490" t="s">
        <v>285</v>
      </c>
      <c r="AH15" s="491"/>
      <c r="AI15" s="492"/>
      <c r="AJ15" s="79">
        <v>1.9</v>
      </c>
      <c r="AK15" s="493">
        <v>1.75</v>
      </c>
      <c r="AL15" s="494"/>
      <c r="AM15" s="493">
        <v>1.66</v>
      </c>
      <c r="AN15" s="494"/>
      <c r="AO15" s="80">
        <v>1.6</v>
      </c>
      <c r="AP15" s="79">
        <v>0.42</v>
      </c>
      <c r="AQ15" s="79">
        <v>0.27</v>
      </c>
      <c r="AR15" s="79"/>
      <c r="AT15" s="91"/>
      <c r="AU15" s="95"/>
      <c r="AV15" s="96"/>
      <c r="AW15" s="97"/>
      <c r="AX15" s="118" t="s">
        <v>284</v>
      </c>
      <c r="AY15" s="113" t="s">
        <v>276</v>
      </c>
      <c r="AZ15" s="490" t="s">
        <v>285</v>
      </c>
      <c r="BA15" s="491"/>
      <c r="BB15" s="492"/>
      <c r="BC15" s="490" t="s">
        <v>288</v>
      </c>
      <c r="BD15" s="491"/>
      <c r="BE15" s="492"/>
    </row>
    <row r="16" spans="2:60" ht="19.5" customHeight="1">
      <c r="E16" s="72">
        <v>2</v>
      </c>
      <c r="F16" s="65" t="s">
        <v>257</v>
      </c>
      <c r="H16" s="64" t="s">
        <v>344</v>
      </c>
      <c r="J16" s="64" t="s">
        <v>4062</v>
      </c>
      <c r="Q16" s="65" t="str">
        <f t="shared" si="5"/>
        <v>樹脂製建具又は木製建具_三層複層ガラス_Low_E１枚_ガスの封入されている_10 ㎜未満</v>
      </c>
      <c r="R16" s="421">
        <f t="shared" si="1"/>
        <v>2.2000000000000002</v>
      </c>
      <c r="S16" s="82">
        <f t="shared" si="2"/>
        <v>0.42</v>
      </c>
      <c r="T16" s="82">
        <f t="shared" si="3"/>
        <v>0.27</v>
      </c>
      <c r="U16" s="82">
        <f t="shared" si="4"/>
        <v>0</v>
      </c>
      <c r="Z16" s="76"/>
      <c r="AA16" s="514"/>
      <c r="AB16" s="515"/>
      <c r="AC16" s="504"/>
      <c r="AD16" s="505"/>
      <c r="AE16" s="509"/>
      <c r="AF16" s="510"/>
      <c r="AG16" s="490" t="s">
        <v>286</v>
      </c>
      <c r="AH16" s="491"/>
      <c r="AI16" s="492"/>
      <c r="AJ16" s="79">
        <v>2.15</v>
      </c>
      <c r="AK16" s="493">
        <v>1.96</v>
      </c>
      <c r="AL16" s="494"/>
      <c r="AM16" s="493">
        <v>1.86</v>
      </c>
      <c r="AN16" s="494"/>
      <c r="AO16" s="80">
        <v>1.77</v>
      </c>
      <c r="AP16" s="79">
        <v>0.42</v>
      </c>
      <c r="AQ16" s="79">
        <v>0.27</v>
      </c>
      <c r="AR16" s="79"/>
      <c r="AT16" s="91"/>
      <c r="AU16" s="95"/>
      <c r="AV16" s="96"/>
      <c r="AW16" s="97"/>
      <c r="AX16" s="116"/>
      <c r="AY16" s="115"/>
      <c r="AZ16" s="490" t="s">
        <v>286</v>
      </c>
      <c r="BA16" s="491"/>
      <c r="BB16" s="492"/>
      <c r="BC16" s="490" t="s">
        <v>303</v>
      </c>
      <c r="BD16" s="491"/>
      <c r="BE16" s="492"/>
    </row>
    <row r="17" spans="4:60" ht="19.5" customHeight="1">
      <c r="E17" s="72">
        <v>3</v>
      </c>
      <c r="F17" s="65" t="s">
        <v>249</v>
      </c>
      <c r="H17" s="65" t="s">
        <v>324</v>
      </c>
      <c r="J17" s="65" t="s">
        <v>336</v>
      </c>
      <c r="N17" s="64" t="s">
        <v>260</v>
      </c>
      <c r="Q17" s="73" t="str">
        <f t="shared" si="5"/>
        <v>樹脂製建具又は木製建具_三層複層ガラス_Low_E１枚_ガスの封入されていない_13 ㎜以上</v>
      </c>
      <c r="R17" s="421">
        <f t="shared" si="1"/>
        <v>1.9</v>
      </c>
      <c r="S17" s="82">
        <f t="shared" si="2"/>
        <v>0.42</v>
      </c>
      <c r="T17" s="82">
        <f t="shared" si="3"/>
        <v>0.27</v>
      </c>
      <c r="U17" s="82">
        <f t="shared" si="4"/>
        <v>0</v>
      </c>
      <c r="Z17" s="76"/>
      <c r="AA17" s="514"/>
      <c r="AB17" s="515"/>
      <c r="AC17" s="504"/>
      <c r="AD17" s="505"/>
      <c r="AE17" s="509"/>
      <c r="AF17" s="508" t="s">
        <v>281</v>
      </c>
      <c r="AG17" s="490" t="s">
        <v>277</v>
      </c>
      <c r="AH17" s="491"/>
      <c r="AI17" s="492"/>
      <c r="AJ17" s="79">
        <v>1.9</v>
      </c>
      <c r="AK17" s="493">
        <v>1.75</v>
      </c>
      <c r="AL17" s="494"/>
      <c r="AM17" s="493">
        <v>1.66</v>
      </c>
      <c r="AN17" s="494"/>
      <c r="AO17" s="80">
        <v>1.6</v>
      </c>
      <c r="AP17" s="79">
        <v>0.42</v>
      </c>
      <c r="AQ17" s="79">
        <v>0.27</v>
      </c>
      <c r="AR17" s="79"/>
      <c r="AT17" s="91"/>
      <c r="AU17" s="95"/>
      <c r="AV17" s="96"/>
      <c r="AW17" s="97"/>
      <c r="AX17" s="116"/>
      <c r="AY17" s="114"/>
      <c r="AZ17" s="84"/>
      <c r="BA17" s="85"/>
      <c r="BB17" s="86"/>
      <c r="BC17" s="490" t="s">
        <v>304</v>
      </c>
      <c r="BD17" s="491"/>
      <c r="BE17" s="492"/>
    </row>
    <row r="18" spans="4:60" ht="19.5" customHeight="1">
      <c r="E18" s="72">
        <v>4</v>
      </c>
      <c r="F18" s="65" t="s">
        <v>4076</v>
      </c>
      <c r="H18" s="65" t="s">
        <v>325</v>
      </c>
      <c r="J18" s="65" t="s">
        <v>353</v>
      </c>
      <c r="N18" s="65" t="s">
        <v>372</v>
      </c>
      <c r="Q18" s="73" t="str">
        <f t="shared" si="5"/>
        <v>樹脂製建具又は木製建具_三層複層ガラス_Low_E１枚_ガスの封入されていない_9 ㎜以上 13 ㎜未満</v>
      </c>
      <c r="R18" s="421">
        <f t="shared" si="1"/>
        <v>2.2000000000000002</v>
      </c>
      <c r="S18" s="82">
        <f t="shared" si="2"/>
        <v>0.42</v>
      </c>
      <c r="T18" s="82">
        <f t="shared" si="3"/>
        <v>0.27</v>
      </c>
      <c r="U18" s="82">
        <f t="shared" si="4"/>
        <v>0</v>
      </c>
      <c r="Z18" s="76"/>
      <c r="AA18" s="514"/>
      <c r="AB18" s="515"/>
      <c r="AC18" s="504"/>
      <c r="AD18" s="505"/>
      <c r="AE18" s="509"/>
      <c r="AF18" s="509"/>
      <c r="AG18" s="490" t="s">
        <v>282</v>
      </c>
      <c r="AH18" s="491"/>
      <c r="AI18" s="492"/>
      <c r="AJ18" s="79">
        <v>2.15</v>
      </c>
      <c r="AK18" s="493">
        <v>1.96</v>
      </c>
      <c r="AL18" s="494"/>
      <c r="AM18" s="493">
        <v>1.86</v>
      </c>
      <c r="AN18" s="494"/>
      <c r="AO18" s="80">
        <v>1.77</v>
      </c>
      <c r="AP18" s="79">
        <v>0.42</v>
      </c>
      <c r="AQ18" s="79">
        <v>0.27</v>
      </c>
      <c r="AR18" s="79"/>
      <c r="AT18" s="91"/>
      <c r="AU18" s="95"/>
      <c r="AV18" s="96"/>
      <c r="AW18" s="97"/>
      <c r="AX18" s="116"/>
      <c r="AY18" s="113" t="s">
        <v>281</v>
      </c>
      <c r="AZ18" s="490" t="s">
        <v>277</v>
      </c>
      <c r="BA18" s="491"/>
      <c r="BB18" s="492"/>
      <c r="BC18" s="490" t="s">
        <v>301</v>
      </c>
      <c r="BD18" s="491"/>
      <c r="BE18" s="492"/>
    </row>
    <row r="19" spans="4:60" ht="19.5" customHeight="1">
      <c r="E19" s="72">
        <v>5</v>
      </c>
      <c r="F19" s="65" t="s">
        <v>4077</v>
      </c>
      <c r="H19" s="65" t="s">
        <v>322</v>
      </c>
      <c r="J19" s="65" t="s">
        <v>354</v>
      </c>
      <c r="N19" s="65" t="s">
        <v>373</v>
      </c>
      <c r="Q19" s="73" t="str">
        <f t="shared" si="5"/>
        <v>樹脂製建具又は木製建具_三層複層ガラス_Low_E１枚_ガスの封入されていない_7 ㎜以上 9 ㎜未満</v>
      </c>
      <c r="R19" s="421">
        <f t="shared" si="1"/>
        <v>2.2999999999999998</v>
      </c>
      <c r="S19" s="82">
        <f t="shared" si="2"/>
        <v>0.42</v>
      </c>
      <c r="T19" s="82">
        <f t="shared" si="3"/>
        <v>0.27</v>
      </c>
      <c r="U19" s="82">
        <f t="shared" si="4"/>
        <v>0</v>
      </c>
      <c r="Z19" s="76"/>
      <c r="AA19" s="514"/>
      <c r="AB19" s="515"/>
      <c r="AC19" s="504"/>
      <c r="AD19" s="505"/>
      <c r="AE19" s="509"/>
      <c r="AF19" s="509"/>
      <c r="AG19" s="490" t="s">
        <v>283</v>
      </c>
      <c r="AH19" s="491"/>
      <c r="AI19" s="492"/>
      <c r="AJ19" s="79">
        <v>2.33</v>
      </c>
      <c r="AK19" s="493">
        <v>2.11</v>
      </c>
      <c r="AL19" s="494"/>
      <c r="AM19" s="493">
        <v>1.99</v>
      </c>
      <c r="AN19" s="494"/>
      <c r="AO19" s="80">
        <v>1.89</v>
      </c>
      <c r="AP19" s="79">
        <v>0.42</v>
      </c>
      <c r="AQ19" s="79">
        <v>0.27</v>
      </c>
      <c r="AR19" s="79"/>
      <c r="AT19" s="91"/>
      <c r="AU19" s="95"/>
      <c r="AV19" s="96"/>
      <c r="AW19" s="97"/>
      <c r="AX19" s="116"/>
      <c r="AY19" s="115"/>
      <c r="AZ19" s="490" t="s">
        <v>282</v>
      </c>
      <c r="BA19" s="491"/>
      <c r="BB19" s="492"/>
      <c r="BC19" s="490" t="s">
        <v>305</v>
      </c>
      <c r="BD19" s="491"/>
      <c r="BE19" s="492"/>
    </row>
    <row r="20" spans="4:60" ht="19.5" customHeight="1">
      <c r="E20" s="72">
        <v>6</v>
      </c>
      <c r="F20" s="65" t="s">
        <v>250</v>
      </c>
      <c r="H20" s="65" t="s">
        <v>366</v>
      </c>
      <c r="J20" s="65" t="s">
        <v>338</v>
      </c>
      <c r="Q20" s="73" t="str">
        <f t="shared" si="5"/>
        <v>樹脂製建具又は木製建具_三層複層ガラス_Low_E１枚_ガスの封入されていない_7 ㎜未満</v>
      </c>
      <c r="R20" s="421">
        <f t="shared" si="1"/>
        <v>2.9</v>
      </c>
      <c r="S20" s="82">
        <f t="shared" si="2"/>
        <v>0.42</v>
      </c>
      <c r="T20" s="82">
        <f t="shared" si="3"/>
        <v>0.27</v>
      </c>
      <c r="U20" s="82">
        <f t="shared" si="4"/>
        <v>0</v>
      </c>
      <c r="Z20" s="76"/>
      <c r="AA20" s="514"/>
      <c r="AB20" s="515"/>
      <c r="AC20" s="504"/>
      <c r="AD20" s="505"/>
      <c r="AE20" s="510"/>
      <c r="AF20" s="510"/>
      <c r="AG20" s="490" t="s">
        <v>280</v>
      </c>
      <c r="AH20" s="491"/>
      <c r="AI20" s="492"/>
      <c r="AJ20" s="79">
        <v>2.91</v>
      </c>
      <c r="AK20" s="493">
        <v>2.59</v>
      </c>
      <c r="AL20" s="494"/>
      <c r="AM20" s="493">
        <v>2.41</v>
      </c>
      <c r="AN20" s="494"/>
      <c r="AO20" s="80">
        <v>2.2599999999999998</v>
      </c>
      <c r="AP20" s="79">
        <v>0.42</v>
      </c>
      <c r="AQ20" s="79">
        <v>0.27</v>
      </c>
      <c r="AR20" s="79"/>
      <c r="AT20" s="91"/>
      <c r="AU20" s="95"/>
      <c r="AV20" s="96"/>
      <c r="AW20" s="97"/>
      <c r="AX20" s="116"/>
      <c r="AY20" s="115"/>
      <c r="AZ20" s="490" t="s">
        <v>283</v>
      </c>
      <c r="BA20" s="491"/>
      <c r="BB20" s="492"/>
      <c r="BC20" s="490" t="s">
        <v>289</v>
      </c>
      <c r="BD20" s="491"/>
      <c r="BE20" s="492"/>
    </row>
    <row r="21" spans="4:60" ht="19.5" customHeight="1">
      <c r="H21" s="65" t="s">
        <v>367</v>
      </c>
      <c r="J21" s="65" t="s">
        <v>355</v>
      </c>
      <c r="N21" s="64" t="s">
        <v>253</v>
      </c>
      <c r="P21" s="72">
        <v>3</v>
      </c>
      <c r="Q21" s="65" t="str">
        <f>C$7&amp;"_"&amp;F$9&amp;"_"&amp;H25</f>
        <v>樹脂製建具又は木製建具_三層複層ガラス_一般_ガスの封入されていない_12 ㎜以上</v>
      </c>
      <c r="R21" s="421">
        <f t="shared" si="1"/>
        <v>2.2999999999999998</v>
      </c>
      <c r="S21" s="82">
        <f t="shared" si="2"/>
        <v>0</v>
      </c>
      <c r="T21" s="82">
        <f t="shared" si="3"/>
        <v>0</v>
      </c>
      <c r="U21" s="82">
        <f t="shared" si="4"/>
        <v>0.52</v>
      </c>
      <c r="Z21" s="76"/>
      <c r="AA21" s="514"/>
      <c r="AB21" s="515"/>
      <c r="AC21" s="504"/>
      <c r="AD21" s="505"/>
      <c r="AE21" s="508" t="s">
        <v>287</v>
      </c>
      <c r="AF21" s="508" t="s">
        <v>281</v>
      </c>
      <c r="AG21" s="490" t="s">
        <v>288</v>
      </c>
      <c r="AH21" s="491"/>
      <c r="AI21" s="492"/>
      <c r="AJ21" s="79">
        <v>2.33</v>
      </c>
      <c r="AK21" s="493">
        <v>2.11</v>
      </c>
      <c r="AL21" s="494"/>
      <c r="AM21" s="493">
        <v>1.99</v>
      </c>
      <c r="AN21" s="494"/>
      <c r="AO21" s="80">
        <v>1.89</v>
      </c>
      <c r="AP21" s="79"/>
      <c r="AQ21" s="79"/>
      <c r="AR21" s="79">
        <v>0.52</v>
      </c>
      <c r="AT21" s="91"/>
      <c r="AU21" s="95"/>
      <c r="AV21" s="96"/>
      <c r="AW21" s="97"/>
      <c r="AX21" s="117"/>
      <c r="AY21" s="114"/>
      <c r="AZ21" s="490" t="s">
        <v>280</v>
      </c>
      <c r="BA21" s="491"/>
      <c r="BB21" s="492"/>
      <c r="BC21" s="490"/>
      <c r="BD21" s="491"/>
      <c r="BE21" s="492"/>
    </row>
    <row r="22" spans="4:60" ht="19.5" customHeight="1">
      <c r="F22" s="64" t="s">
        <v>251</v>
      </c>
      <c r="H22" s="65" t="s">
        <v>323</v>
      </c>
      <c r="J22" s="65" t="s">
        <v>348</v>
      </c>
      <c r="N22" s="65" t="s">
        <v>244</v>
      </c>
      <c r="Q22" s="65" t="str">
        <f>C$7&amp;"_"&amp;F$9&amp;"_"&amp;H26</f>
        <v>樹脂製建具又は木製建具_三層複層ガラス_一般_ガスの封入されていない_12 ㎜未満</v>
      </c>
      <c r="R22" s="421">
        <f t="shared" si="1"/>
        <v>2.9</v>
      </c>
      <c r="S22" s="82">
        <f t="shared" si="2"/>
        <v>0</v>
      </c>
      <c r="T22" s="82">
        <f t="shared" si="3"/>
        <v>0</v>
      </c>
      <c r="U22" s="82">
        <f t="shared" si="4"/>
        <v>0.52</v>
      </c>
      <c r="Z22" s="76"/>
      <c r="AA22" s="514"/>
      <c r="AB22" s="515"/>
      <c r="AC22" s="506"/>
      <c r="AD22" s="507"/>
      <c r="AE22" s="510"/>
      <c r="AF22" s="510"/>
      <c r="AG22" s="490" t="s">
        <v>289</v>
      </c>
      <c r="AH22" s="491"/>
      <c r="AI22" s="492"/>
      <c r="AJ22" s="79">
        <v>2.91</v>
      </c>
      <c r="AK22" s="493">
        <v>2.59</v>
      </c>
      <c r="AL22" s="494"/>
      <c r="AM22" s="493">
        <v>2.41</v>
      </c>
      <c r="AN22" s="494"/>
      <c r="AO22" s="80">
        <v>2.2599999999999998</v>
      </c>
      <c r="AP22" s="79"/>
      <c r="AQ22" s="79"/>
      <c r="AR22" s="79">
        <v>0.52</v>
      </c>
      <c r="AT22" s="91"/>
      <c r="AU22" s="95"/>
      <c r="AV22" s="96"/>
      <c r="AW22" s="97"/>
      <c r="AX22" s="118" t="s">
        <v>287</v>
      </c>
      <c r="AY22" s="113" t="s">
        <v>281</v>
      </c>
      <c r="AZ22" s="490" t="s">
        <v>288</v>
      </c>
      <c r="BA22" s="491"/>
      <c r="BB22" s="492"/>
      <c r="BC22" s="490" t="s">
        <v>306</v>
      </c>
      <c r="BD22" s="491"/>
      <c r="BE22" s="492"/>
    </row>
    <row r="23" spans="4:60" ht="19.5" customHeight="1">
      <c r="E23" s="72">
        <v>1</v>
      </c>
      <c r="F23" s="65" t="s">
        <v>4076</v>
      </c>
      <c r="P23" s="72">
        <v>4</v>
      </c>
      <c r="Q23" s="73" t="str">
        <f t="shared" ref="Q23:Q28" si="6">C$7&amp;"_"&amp;F$10&amp;"_"&amp;H29</f>
        <v>樹脂製建具又は木製建具_二層複層ガラス_Low_E_ガスの封入されている_10 ㎜以上</v>
      </c>
      <c r="R23" s="421">
        <f t="shared" si="1"/>
        <v>2.2000000000000002</v>
      </c>
      <c r="S23" s="82">
        <f t="shared" si="2"/>
        <v>0.46</v>
      </c>
      <c r="T23" s="82">
        <f t="shared" si="3"/>
        <v>0.28999999999999998</v>
      </c>
      <c r="U23" s="82">
        <f t="shared" si="4"/>
        <v>0</v>
      </c>
      <c r="Z23" s="76"/>
      <c r="AA23" s="514"/>
      <c r="AB23" s="515"/>
      <c r="AC23" s="502" t="s">
        <v>290</v>
      </c>
      <c r="AD23" s="503"/>
      <c r="AE23" s="508" t="s">
        <v>291</v>
      </c>
      <c r="AF23" s="508" t="s">
        <v>276</v>
      </c>
      <c r="AG23" s="490" t="s">
        <v>285</v>
      </c>
      <c r="AH23" s="491"/>
      <c r="AI23" s="492"/>
      <c r="AJ23" s="79">
        <v>2.15</v>
      </c>
      <c r="AK23" s="493">
        <v>1.96</v>
      </c>
      <c r="AL23" s="494"/>
      <c r="AM23" s="493">
        <v>1.86</v>
      </c>
      <c r="AN23" s="494"/>
      <c r="AO23" s="80">
        <v>1.77</v>
      </c>
      <c r="AP23" s="79">
        <v>0.46</v>
      </c>
      <c r="AQ23" s="79">
        <v>0.28999999999999998</v>
      </c>
      <c r="AR23" s="79"/>
      <c r="AT23" s="91"/>
      <c r="AU23" s="95"/>
      <c r="AV23" s="98"/>
      <c r="AW23" s="99"/>
      <c r="AX23" s="117"/>
      <c r="AY23" s="114"/>
      <c r="AZ23" s="490" t="s">
        <v>289</v>
      </c>
      <c r="BA23" s="491"/>
      <c r="BB23" s="492"/>
      <c r="BC23" s="490" t="s">
        <v>280</v>
      </c>
      <c r="BD23" s="491"/>
      <c r="BE23" s="492"/>
    </row>
    <row r="24" spans="4:60" ht="19.5" customHeight="1">
      <c r="E24" s="72">
        <v>2</v>
      </c>
      <c r="F24" s="65" t="s">
        <v>4077</v>
      </c>
      <c r="H24" s="64" t="s">
        <v>345</v>
      </c>
      <c r="J24" s="64" t="s">
        <v>350</v>
      </c>
      <c r="Q24" s="73" t="str">
        <f t="shared" si="6"/>
        <v>樹脂製建具又は木製建具_二層複層ガラス_Low_E_ガスの封入されている_8 ㎜以上 10 ㎜未満</v>
      </c>
      <c r="R24" s="421">
        <f t="shared" si="1"/>
        <v>2.2999999999999998</v>
      </c>
      <c r="S24" s="82">
        <f t="shared" si="2"/>
        <v>0.46</v>
      </c>
      <c r="T24" s="82">
        <f t="shared" si="3"/>
        <v>0.28999999999999998</v>
      </c>
      <c r="U24" s="82">
        <f t="shared" si="4"/>
        <v>0</v>
      </c>
      <c r="Z24" s="76"/>
      <c r="AA24" s="514"/>
      <c r="AB24" s="515"/>
      <c r="AC24" s="504"/>
      <c r="AD24" s="505"/>
      <c r="AE24" s="509"/>
      <c r="AF24" s="509"/>
      <c r="AG24" s="490" t="s">
        <v>292</v>
      </c>
      <c r="AH24" s="491"/>
      <c r="AI24" s="492"/>
      <c r="AJ24" s="79">
        <v>2.33</v>
      </c>
      <c r="AK24" s="493">
        <v>2.11</v>
      </c>
      <c r="AL24" s="494"/>
      <c r="AM24" s="493">
        <v>1.99</v>
      </c>
      <c r="AN24" s="494"/>
      <c r="AO24" s="80">
        <v>1.89</v>
      </c>
      <c r="AP24" s="79">
        <v>0.46</v>
      </c>
      <c r="AQ24" s="79">
        <v>0.28999999999999998</v>
      </c>
      <c r="AR24" s="79"/>
      <c r="AT24" s="91"/>
      <c r="AU24" s="95"/>
      <c r="AV24" s="100" t="s">
        <v>290</v>
      </c>
      <c r="AW24" s="101"/>
      <c r="AX24" s="118" t="s">
        <v>291</v>
      </c>
      <c r="AY24" s="113" t="s">
        <v>276</v>
      </c>
      <c r="AZ24" s="490" t="s">
        <v>285</v>
      </c>
      <c r="BA24" s="491"/>
      <c r="BB24" s="492"/>
      <c r="BC24" s="490" t="s">
        <v>294</v>
      </c>
      <c r="BD24" s="491"/>
      <c r="BE24" s="492"/>
      <c r="BF24" s="490" t="s">
        <v>285</v>
      </c>
      <c r="BG24" s="491"/>
      <c r="BH24" s="492"/>
    </row>
    <row r="25" spans="4:60" ht="19.5" customHeight="1">
      <c r="E25" s="72">
        <v>3</v>
      </c>
      <c r="F25" s="65" t="s">
        <v>250</v>
      </c>
      <c r="H25" s="65" t="s">
        <v>326</v>
      </c>
      <c r="J25" s="65" t="s">
        <v>356</v>
      </c>
      <c r="Q25" s="73" t="str">
        <f t="shared" si="6"/>
        <v>樹脂製建具又は木製建具_二層複層ガラス_Low_E_ガスの封入されている_8 ㎜未満</v>
      </c>
      <c r="R25" s="421">
        <f t="shared" si="1"/>
        <v>2.9</v>
      </c>
      <c r="S25" s="82">
        <f t="shared" si="2"/>
        <v>0.46</v>
      </c>
      <c r="T25" s="82">
        <f t="shared" si="3"/>
        <v>0.28999999999999998</v>
      </c>
      <c r="U25" s="82">
        <f t="shared" si="4"/>
        <v>0</v>
      </c>
      <c r="Z25" s="76"/>
      <c r="AA25" s="514"/>
      <c r="AB25" s="515"/>
      <c r="AC25" s="504"/>
      <c r="AD25" s="505"/>
      <c r="AE25" s="509"/>
      <c r="AF25" s="510"/>
      <c r="AG25" s="490" t="s">
        <v>293</v>
      </c>
      <c r="AH25" s="491"/>
      <c r="AI25" s="492"/>
      <c r="AJ25" s="79">
        <v>2.91</v>
      </c>
      <c r="AK25" s="493">
        <v>2.59</v>
      </c>
      <c r="AL25" s="494"/>
      <c r="AM25" s="493">
        <v>2.41</v>
      </c>
      <c r="AN25" s="494"/>
      <c r="AO25" s="80">
        <v>2.2599999999999998</v>
      </c>
      <c r="AP25" s="79">
        <v>0.46</v>
      </c>
      <c r="AQ25" s="79">
        <v>0.28999999999999998</v>
      </c>
      <c r="AR25" s="79"/>
      <c r="AT25" s="91"/>
      <c r="AU25" s="95"/>
      <c r="AV25" s="96"/>
      <c r="AW25" s="97"/>
      <c r="AX25" s="116"/>
      <c r="AY25" s="115"/>
      <c r="AZ25" s="490" t="s">
        <v>292</v>
      </c>
      <c r="BA25" s="491"/>
      <c r="BB25" s="492"/>
      <c r="BC25" s="490" t="s">
        <v>307</v>
      </c>
      <c r="BD25" s="491"/>
      <c r="BE25" s="492"/>
      <c r="BF25" s="490" t="s">
        <v>286</v>
      </c>
      <c r="BG25" s="491"/>
      <c r="BH25" s="492"/>
    </row>
    <row r="26" spans="4:60" ht="19.5" customHeight="1">
      <c r="H26" s="65" t="s">
        <v>327</v>
      </c>
      <c r="J26" s="65" t="s">
        <v>357</v>
      </c>
      <c r="Q26" s="65" t="str">
        <f t="shared" si="6"/>
        <v>樹脂製建具又は木製建具_二層複層ガラス_Low_E_ガスの封入されていない_14 ㎜以上</v>
      </c>
      <c r="R26" s="421">
        <f t="shared" si="1"/>
        <v>2.2000000000000002</v>
      </c>
      <c r="S26" s="82">
        <f t="shared" si="2"/>
        <v>0.46</v>
      </c>
      <c r="T26" s="82">
        <f t="shared" si="3"/>
        <v>0.28999999999999998</v>
      </c>
      <c r="U26" s="82">
        <f t="shared" si="4"/>
        <v>0</v>
      </c>
      <c r="Z26" s="76"/>
      <c r="AA26" s="514"/>
      <c r="AB26" s="515"/>
      <c r="AC26" s="504"/>
      <c r="AD26" s="505"/>
      <c r="AE26" s="509"/>
      <c r="AF26" s="508" t="s">
        <v>281</v>
      </c>
      <c r="AG26" s="490" t="s">
        <v>294</v>
      </c>
      <c r="AH26" s="491"/>
      <c r="AI26" s="492"/>
      <c r="AJ26" s="79">
        <v>2.15</v>
      </c>
      <c r="AK26" s="493">
        <v>1.96</v>
      </c>
      <c r="AL26" s="494"/>
      <c r="AM26" s="493">
        <v>1.86</v>
      </c>
      <c r="AN26" s="494"/>
      <c r="AO26" s="80">
        <v>1.77</v>
      </c>
      <c r="AP26" s="79">
        <v>0.46</v>
      </c>
      <c r="AQ26" s="79">
        <v>0.28999999999999998</v>
      </c>
      <c r="AR26" s="79"/>
      <c r="AT26" s="91"/>
      <c r="AU26" s="95"/>
      <c r="AV26" s="96"/>
      <c r="AW26" s="97"/>
      <c r="AX26" s="116"/>
      <c r="AY26" s="114"/>
      <c r="AZ26" s="490" t="s">
        <v>293</v>
      </c>
      <c r="BA26" s="491"/>
      <c r="BB26" s="492"/>
      <c r="BC26" s="490"/>
      <c r="BD26" s="491"/>
      <c r="BE26" s="492"/>
      <c r="BF26" s="490"/>
      <c r="BG26" s="491"/>
      <c r="BH26" s="492"/>
    </row>
    <row r="27" spans="4:60" ht="19.5" customHeight="1">
      <c r="Q27" s="65" t="str">
        <f t="shared" si="6"/>
        <v>樹脂製建具又は木製建具_二層複層ガラス_Low_E_ガスの封入されていない_11 ㎜以上 14 ㎜未満</v>
      </c>
      <c r="R27" s="421">
        <f t="shared" si="1"/>
        <v>2.2999999999999998</v>
      </c>
      <c r="S27" s="82">
        <f t="shared" si="2"/>
        <v>0.46</v>
      </c>
      <c r="T27" s="82">
        <f t="shared" si="3"/>
        <v>0.28999999999999998</v>
      </c>
      <c r="U27" s="82">
        <f t="shared" si="4"/>
        <v>0</v>
      </c>
      <c r="Z27" s="76"/>
      <c r="AA27" s="514"/>
      <c r="AB27" s="515"/>
      <c r="AC27" s="504"/>
      <c r="AD27" s="505"/>
      <c r="AE27" s="509"/>
      <c r="AF27" s="509"/>
      <c r="AG27" s="490" t="s">
        <v>295</v>
      </c>
      <c r="AH27" s="491"/>
      <c r="AI27" s="492"/>
      <c r="AJ27" s="79">
        <v>2.33</v>
      </c>
      <c r="AK27" s="493">
        <v>2.11</v>
      </c>
      <c r="AL27" s="494"/>
      <c r="AM27" s="493">
        <v>1.99</v>
      </c>
      <c r="AN27" s="494"/>
      <c r="AO27" s="80">
        <v>1.89</v>
      </c>
      <c r="AP27" s="79">
        <v>0.46</v>
      </c>
      <c r="AQ27" s="79">
        <v>0.28999999999999998</v>
      </c>
      <c r="AR27" s="79"/>
      <c r="AT27" s="91"/>
      <c r="AU27" s="95"/>
      <c r="AV27" s="96"/>
      <c r="AW27" s="97"/>
      <c r="AX27" s="116"/>
      <c r="AY27" s="113" t="s">
        <v>281</v>
      </c>
      <c r="AZ27" s="490" t="s">
        <v>294</v>
      </c>
      <c r="BA27" s="491"/>
      <c r="BB27" s="492"/>
      <c r="BC27" s="490" t="s">
        <v>308</v>
      </c>
      <c r="BD27" s="491"/>
      <c r="BE27" s="492"/>
      <c r="BF27" s="490" t="s">
        <v>294</v>
      </c>
      <c r="BG27" s="491"/>
      <c r="BH27" s="492"/>
    </row>
    <row r="28" spans="4:60" ht="19.5" customHeight="1">
      <c r="H28" s="64" t="s">
        <v>346</v>
      </c>
      <c r="J28" s="64" t="s">
        <v>351</v>
      </c>
      <c r="L28" s="64" t="s">
        <v>375</v>
      </c>
      <c r="Q28" s="65" t="str">
        <f t="shared" si="6"/>
        <v>樹脂製建具又は木製建具_二層複層ガラス_Low_E_ガスの封入されていない_11 ㎜未満</v>
      </c>
      <c r="R28" s="421">
        <f t="shared" si="1"/>
        <v>2.9</v>
      </c>
      <c r="S28" s="82">
        <f t="shared" si="2"/>
        <v>0.46</v>
      </c>
      <c r="T28" s="82">
        <f t="shared" si="3"/>
        <v>0.28999999999999998</v>
      </c>
      <c r="U28" s="82">
        <f t="shared" si="4"/>
        <v>0</v>
      </c>
      <c r="Z28" s="76"/>
      <c r="AA28" s="514"/>
      <c r="AB28" s="515"/>
      <c r="AC28" s="504"/>
      <c r="AD28" s="505"/>
      <c r="AE28" s="510"/>
      <c r="AF28" s="510"/>
      <c r="AG28" s="490" t="s">
        <v>296</v>
      </c>
      <c r="AH28" s="491"/>
      <c r="AI28" s="492"/>
      <c r="AJ28" s="79">
        <v>2.91</v>
      </c>
      <c r="AK28" s="493">
        <v>2.59</v>
      </c>
      <c r="AL28" s="494"/>
      <c r="AM28" s="493">
        <v>2.41</v>
      </c>
      <c r="AN28" s="494"/>
      <c r="AO28" s="80">
        <v>2.2599999999999998</v>
      </c>
      <c r="AP28" s="79">
        <v>0.46</v>
      </c>
      <c r="AQ28" s="79">
        <v>0.28999999999999998</v>
      </c>
      <c r="AR28" s="79"/>
      <c r="AT28" s="91"/>
      <c r="AU28" s="95"/>
      <c r="AV28" s="96"/>
      <c r="AW28" s="97"/>
      <c r="AX28" s="116"/>
      <c r="AY28" s="115"/>
      <c r="AZ28" s="490" t="s">
        <v>295</v>
      </c>
      <c r="BA28" s="491"/>
      <c r="BB28" s="492"/>
      <c r="BC28" s="490" t="s">
        <v>304</v>
      </c>
      <c r="BD28" s="491"/>
      <c r="BE28" s="492"/>
      <c r="BF28" s="490" t="s">
        <v>311</v>
      </c>
      <c r="BG28" s="491"/>
      <c r="BH28" s="492"/>
    </row>
    <row r="29" spans="4:60" ht="19.5" customHeight="1">
      <c r="H29" s="65" t="s">
        <v>324</v>
      </c>
      <c r="J29" s="65" t="s">
        <v>376</v>
      </c>
      <c r="L29" s="65" t="s">
        <v>377</v>
      </c>
      <c r="P29" s="72">
        <v>5</v>
      </c>
      <c r="Q29" s="73" t="str">
        <f>C$7&amp;"_"&amp;F$11&amp;"_"&amp;H37</f>
        <v>樹脂製建具又は木製建具_二層複層ガラス_一般_ガスの封入されていない_13 ㎜以上</v>
      </c>
      <c r="R29" s="421">
        <f t="shared" si="1"/>
        <v>2.9</v>
      </c>
      <c r="S29" s="82">
        <f t="shared" si="2"/>
        <v>0</v>
      </c>
      <c r="T29" s="82">
        <f t="shared" si="3"/>
        <v>0</v>
      </c>
      <c r="U29" s="82">
        <f t="shared" si="4"/>
        <v>0.56999999999999995</v>
      </c>
      <c r="Z29" s="76"/>
      <c r="AA29" s="514"/>
      <c r="AB29" s="515"/>
      <c r="AC29" s="504"/>
      <c r="AD29" s="505"/>
      <c r="AE29" s="508" t="s">
        <v>287</v>
      </c>
      <c r="AF29" s="508" t="s">
        <v>281</v>
      </c>
      <c r="AG29" s="490" t="s">
        <v>277</v>
      </c>
      <c r="AH29" s="491"/>
      <c r="AI29" s="492"/>
      <c r="AJ29" s="79">
        <v>2.91</v>
      </c>
      <c r="AK29" s="493">
        <v>2.59</v>
      </c>
      <c r="AL29" s="494"/>
      <c r="AM29" s="493">
        <v>2.41</v>
      </c>
      <c r="AN29" s="494"/>
      <c r="AO29" s="80">
        <v>2.2599999999999998</v>
      </c>
      <c r="AP29" s="79"/>
      <c r="AQ29" s="79"/>
      <c r="AR29" s="79">
        <v>0.56999999999999995</v>
      </c>
      <c r="AT29" s="91"/>
      <c r="AU29" s="95"/>
      <c r="AV29" s="96"/>
      <c r="AW29" s="97"/>
      <c r="AX29" s="117"/>
      <c r="AY29" s="114"/>
      <c r="AZ29" s="490" t="s">
        <v>296</v>
      </c>
      <c r="BA29" s="491"/>
      <c r="BB29" s="492"/>
      <c r="BC29" s="490"/>
      <c r="BD29" s="491"/>
      <c r="BE29" s="492"/>
      <c r="BF29" s="490" t="s">
        <v>280</v>
      </c>
      <c r="BG29" s="491"/>
      <c r="BH29" s="492"/>
    </row>
    <row r="30" spans="4:60" ht="19.5" customHeight="1">
      <c r="H30" s="65" t="s">
        <v>368</v>
      </c>
      <c r="J30" s="65" t="s">
        <v>358</v>
      </c>
      <c r="L30" s="65" t="s">
        <v>378</v>
      </c>
      <c r="Q30" s="73" t="str">
        <f>C$7&amp;"_"&amp;F$11&amp;"_"&amp;H38</f>
        <v>樹脂製建具又は木製建具_二層複層ガラス_一般_ガスの封入されていない_13 ㎜未満</v>
      </c>
      <c r="R30" s="421">
        <f t="shared" si="1"/>
        <v>3.5</v>
      </c>
      <c r="S30" s="82">
        <f t="shared" si="2"/>
        <v>0</v>
      </c>
      <c r="T30" s="82">
        <f t="shared" si="3"/>
        <v>0</v>
      </c>
      <c r="U30" s="82">
        <f t="shared" si="4"/>
        <v>0.56999999999999995</v>
      </c>
      <c r="Z30" s="76"/>
      <c r="AA30" s="514"/>
      <c r="AB30" s="515"/>
      <c r="AC30" s="506"/>
      <c r="AD30" s="507"/>
      <c r="AE30" s="510"/>
      <c r="AF30" s="510"/>
      <c r="AG30" s="490" t="s">
        <v>297</v>
      </c>
      <c r="AH30" s="491"/>
      <c r="AI30" s="492"/>
      <c r="AJ30" s="79">
        <v>3.49</v>
      </c>
      <c r="AK30" s="493">
        <v>3.04</v>
      </c>
      <c r="AL30" s="494"/>
      <c r="AM30" s="493">
        <v>2.82</v>
      </c>
      <c r="AN30" s="494"/>
      <c r="AO30" s="80">
        <v>2.59</v>
      </c>
      <c r="AP30" s="79"/>
      <c r="AQ30" s="79"/>
      <c r="AR30" s="79">
        <v>0.56999999999999995</v>
      </c>
      <c r="AT30" s="91"/>
      <c r="AU30" s="95"/>
      <c r="AV30" s="96"/>
      <c r="AW30" s="97"/>
      <c r="AX30" s="118" t="s">
        <v>287</v>
      </c>
      <c r="AY30" s="113" t="s">
        <v>281</v>
      </c>
      <c r="AZ30" s="490" t="s">
        <v>277</v>
      </c>
      <c r="BA30" s="491"/>
      <c r="BB30" s="492"/>
      <c r="BC30" s="490" t="s">
        <v>309</v>
      </c>
      <c r="BD30" s="491"/>
      <c r="BE30" s="492"/>
      <c r="BF30" s="490" t="s">
        <v>312</v>
      </c>
      <c r="BG30" s="491"/>
      <c r="BH30" s="492"/>
    </row>
    <row r="31" spans="4:60" ht="19.5" customHeight="1">
      <c r="H31" s="65" t="s">
        <v>328</v>
      </c>
      <c r="J31" s="65" t="s">
        <v>359</v>
      </c>
      <c r="L31" s="65" t="s">
        <v>379</v>
      </c>
      <c r="P31" s="72">
        <v>6</v>
      </c>
      <c r="Q31" s="65" t="str">
        <f>C$7&amp;"_"&amp;F$12&amp;"_"&amp;H41</f>
        <v>樹脂製建具又は木製建具_単板ガラス_－</v>
      </c>
      <c r="R31" s="421">
        <f t="shared" si="1"/>
        <v>6.5</v>
      </c>
      <c r="S31" s="82">
        <f t="shared" si="2"/>
        <v>0</v>
      </c>
      <c r="T31" s="82">
        <f t="shared" si="3"/>
        <v>0</v>
      </c>
      <c r="U31" s="82">
        <f t="shared" si="4"/>
        <v>0.63</v>
      </c>
      <c r="Z31" s="76"/>
      <c r="AA31" s="516"/>
      <c r="AB31" s="517"/>
      <c r="AC31" s="511" t="s">
        <v>298</v>
      </c>
      <c r="AD31" s="512"/>
      <c r="AE31" s="81" t="s">
        <v>299</v>
      </c>
      <c r="AF31" s="81" t="s">
        <v>299</v>
      </c>
      <c r="AG31" s="490" t="s">
        <v>299</v>
      </c>
      <c r="AH31" s="491"/>
      <c r="AI31" s="492"/>
      <c r="AJ31" s="79">
        <v>6.51</v>
      </c>
      <c r="AK31" s="493">
        <v>5.23</v>
      </c>
      <c r="AL31" s="494"/>
      <c r="AM31" s="493">
        <v>4.76</v>
      </c>
      <c r="AN31" s="494"/>
      <c r="AO31" s="80">
        <v>3.95</v>
      </c>
      <c r="AP31" s="79"/>
      <c r="AQ31" s="79"/>
      <c r="AR31" s="79">
        <v>0.63</v>
      </c>
      <c r="AT31" s="91"/>
      <c r="AU31" s="95"/>
      <c r="AV31" s="98"/>
      <c r="AW31" s="99"/>
      <c r="AX31" s="117"/>
      <c r="AY31" s="114"/>
      <c r="AZ31" s="490" t="s">
        <v>297</v>
      </c>
      <c r="BA31" s="491"/>
      <c r="BB31" s="492"/>
      <c r="BC31" s="490" t="s">
        <v>296</v>
      </c>
      <c r="BD31" s="491"/>
      <c r="BE31" s="492"/>
      <c r="BF31" s="490" t="s">
        <v>293</v>
      </c>
      <c r="BG31" s="491"/>
      <c r="BH31" s="492"/>
    </row>
    <row r="32" spans="4:60" ht="19.5" customHeight="1">
      <c r="D32" s="63"/>
      <c r="E32" s="63"/>
      <c r="F32" s="63"/>
      <c r="G32" s="63"/>
      <c r="H32" s="65" t="s">
        <v>329</v>
      </c>
      <c r="I32" s="63"/>
      <c r="J32" s="65" t="s">
        <v>360</v>
      </c>
      <c r="K32" s="63"/>
      <c r="L32" s="65" t="s">
        <v>380</v>
      </c>
      <c r="M32" s="63"/>
      <c r="O32" s="63"/>
      <c r="P32" s="72">
        <v>1</v>
      </c>
      <c r="Q32" s="65" t="str">
        <f t="shared" ref="Q32:Q38" si="7">C$8&amp;"_"&amp;F$15&amp;"_"&amp;J7</f>
        <v>樹脂_又は木_と金属の複合材料製建具_三層複層ガラス_Low_E２枚_ガスの封入されている_12 ㎜以上</v>
      </c>
      <c r="R32" s="421">
        <f t="shared" si="1"/>
        <v>1.9</v>
      </c>
      <c r="S32" s="82">
        <f t="shared" ref="S32:S53" si="8">AP32</f>
        <v>0.43</v>
      </c>
      <c r="T32" s="82">
        <f t="shared" ref="T32:T53" si="9">AQ32</f>
        <v>0.26</v>
      </c>
      <c r="U32" s="82">
        <f t="shared" ref="U32:U53" si="10">AR32</f>
        <v>0</v>
      </c>
      <c r="V32" s="63"/>
      <c r="W32" s="63"/>
      <c r="X32" s="63"/>
      <c r="Y32" s="63"/>
      <c r="Z32" s="76"/>
      <c r="AA32" s="513" t="s">
        <v>334</v>
      </c>
      <c r="AB32" s="497"/>
      <c r="AC32" s="502" t="s">
        <v>274</v>
      </c>
      <c r="AD32" s="503"/>
      <c r="AE32" s="508" t="s">
        <v>275</v>
      </c>
      <c r="AF32" s="508" t="s">
        <v>276</v>
      </c>
      <c r="AG32" s="490" t="s">
        <v>288</v>
      </c>
      <c r="AH32" s="491"/>
      <c r="AI32" s="492"/>
      <c r="AJ32" s="79">
        <v>1.9</v>
      </c>
      <c r="AK32" s="493">
        <v>1.75</v>
      </c>
      <c r="AL32" s="494"/>
      <c r="AM32" s="493">
        <v>1.66</v>
      </c>
      <c r="AN32" s="494"/>
      <c r="AO32" s="80">
        <v>1.6</v>
      </c>
      <c r="AP32" s="79">
        <v>0.43</v>
      </c>
      <c r="AQ32" s="79">
        <v>0.26</v>
      </c>
      <c r="AR32" s="79"/>
      <c r="AT32" s="102"/>
      <c r="AU32" s="103"/>
      <c r="AV32" s="104" t="s">
        <v>298</v>
      </c>
      <c r="AW32" s="105"/>
      <c r="AX32" s="119" t="s">
        <v>299</v>
      </c>
      <c r="AY32" s="81" t="s">
        <v>299</v>
      </c>
      <c r="AZ32" s="490" t="s">
        <v>299</v>
      </c>
      <c r="BA32" s="491"/>
      <c r="BB32" s="492"/>
      <c r="BC32" s="490" t="s">
        <v>299</v>
      </c>
      <c r="BD32" s="491"/>
      <c r="BE32" s="492"/>
      <c r="BF32" s="490" t="s">
        <v>299</v>
      </c>
      <c r="BG32" s="491"/>
      <c r="BH32" s="492"/>
    </row>
    <row r="33" spans="2:54" ht="19.5" customHeight="1">
      <c r="D33" s="68"/>
      <c r="E33" s="68"/>
      <c r="F33" s="68"/>
      <c r="G33" s="68"/>
      <c r="H33" s="65" t="s">
        <v>369</v>
      </c>
      <c r="I33" s="68"/>
      <c r="K33" s="68"/>
      <c r="L33" s="65" t="s">
        <v>381</v>
      </c>
      <c r="M33" s="68"/>
      <c r="O33" s="68"/>
      <c r="P33" s="68"/>
      <c r="Q33" s="65" t="str">
        <f t="shared" si="7"/>
        <v>樹脂_又は木_と金属の複合材料製建具_三層複層ガラス_Low_E２枚_ガスの封入されている_8 ㎜以上 12 ㎜未満</v>
      </c>
      <c r="R33" s="421">
        <f t="shared" si="1"/>
        <v>2.2000000000000002</v>
      </c>
      <c r="S33" s="82">
        <f t="shared" si="8"/>
        <v>0.43</v>
      </c>
      <c r="T33" s="82">
        <f t="shared" si="9"/>
        <v>0.26</v>
      </c>
      <c r="U33" s="82">
        <f t="shared" si="10"/>
        <v>0</v>
      </c>
      <c r="V33" s="68"/>
      <c r="W33" s="68"/>
      <c r="X33" s="68"/>
      <c r="Y33" s="68"/>
      <c r="Z33" s="76"/>
      <c r="AA33" s="498"/>
      <c r="AB33" s="499"/>
      <c r="AC33" s="504"/>
      <c r="AD33" s="505"/>
      <c r="AE33" s="509"/>
      <c r="AF33" s="509"/>
      <c r="AG33" s="490" t="s">
        <v>300</v>
      </c>
      <c r="AH33" s="491"/>
      <c r="AI33" s="492"/>
      <c r="AJ33" s="79">
        <v>2.15</v>
      </c>
      <c r="AK33" s="493">
        <v>1.96</v>
      </c>
      <c r="AL33" s="494"/>
      <c r="AM33" s="493">
        <v>1.86</v>
      </c>
      <c r="AN33" s="494"/>
      <c r="AO33" s="80">
        <v>1.77</v>
      </c>
      <c r="AP33" s="79">
        <v>0.43</v>
      </c>
      <c r="AQ33" s="79">
        <v>0.26</v>
      </c>
      <c r="AR33" s="79"/>
      <c r="AT33" s="106" t="s">
        <v>334</v>
      </c>
      <c r="AU33" s="107"/>
      <c r="AV33" s="100" t="s">
        <v>274</v>
      </c>
      <c r="AW33" s="101"/>
      <c r="AX33" s="118" t="s">
        <v>275</v>
      </c>
      <c r="AY33" s="113" t="s">
        <v>276</v>
      </c>
      <c r="AZ33" s="490" t="s">
        <v>288</v>
      </c>
      <c r="BA33" s="491"/>
      <c r="BB33" s="492"/>
    </row>
    <row r="34" spans="2:54" ht="19.5" customHeight="1">
      <c r="D34" s="68"/>
      <c r="E34" s="68"/>
      <c r="F34" s="68"/>
      <c r="G34" s="68"/>
      <c r="H34" s="65" t="s">
        <v>330</v>
      </c>
      <c r="I34" s="68"/>
      <c r="K34" s="68"/>
      <c r="M34" s="68"/>
      <c r="O34" s="68"/>
      <c r="P34" s="68"/>
      <c r="Q34" s="65" t="str">
        <f t="shared" si="7"/>
        <v>樹脂_又は木_と金属の複合材料製建具_三層複層ガラス_Low_E２枚_ガスの封入されている_8 ㎜未満</v>
      </c>
      <c r="R34" s="421">
        <f t="shared" si="1"/>
        <v>2.2999999999999998</v>
      </c>
      <c r="S34" s="82">
        <f t="shared" si="8"/>
        <v>0.43</v>
      </c>
      <c r="T34" s="82">
        <f t="shared" si="9"/>
        <v>0.26</v>
      </c>
      <c r="U34" s="82">
        <f t="shared" si="10"/>
        <v>0</v>
      </c>
      <c r="V34" s="68"/>
      <c r="W34" s="68"/>
      <c r="X34" s="68"/>
      <c r="Y34" s="68"/>
      <c r="Z34" s="76"/>
      <c r="AA34" s="498"/>
      <c r="AB34" s="499"/>
      <c r="AC34" s="504"/>
      <c r="AD34" s="505"/>
      <c r="AE34" s="509"/>
      <c r="AF34" s="510"/>
      <c r="AG34" s="490" t="s">
        <v>293</v>
      </c>
      <c r="AH34" s="491"/>
      <c r="AI34" s="492"/>
      <c r="AJ34" s="79">
        <v>2.33</v>
      </c>
      <c r="AK34" s="493">
        <v>2.11</v>
      </c>
      <c r="AL34" s="494"/>
      <c r="AM34" s="493">
        <v>1.99</v>
      </c>
      <c r="AN34" s="494"/>
      <c r="AO34" s="80">
        <v>1.89</v>
      </c>
      <c r="AP34" s="79">
        <v>0.43</v>
      </c>
      <c r="AQ34" s="79">
        <v>0.26</v>
      </c>
      <c r="AR34" s="79"/>
      <c r="AT34" s="108"/>
      <c r="AU34" s="109"/>
      <c r="AV34" s="96"/>
      <c r="AW34" s="97"/>
      <c r="AX34" s="116"/>
      <c r="AY34" s="115"/>
      <c r="AZ34" s="490" t="s">
        <v>300</v>
      </c>
      <c r="BA34" s="491"/>
      <c r="BB34" s="492"/>
    </row>
    <row r="35" spans="2:54" ht="19.5" customHeight="1">
      <c r="D35" s="71"/>
      <c r="E35" s="71"/>
      <c r="F35" s="71"/>
      <c r="G35" s="71"/>
      <c r="I35" s="71"/>
      <c r="K35" s="71"/>
      <c r="M35" s="71"/>
      <c r="O35" s="71"/>
      <c r="P35" s="71"/>
      <c r="Q35" s="73" t="str">
        <f t="shared" si="7"/>
        <v>樹脂_又は木_と金属の複合材料製建具_三層複層ガラス_Low_E２枚_ガスの封入されていない_16 ㎜以上</v>
      </c>
      <c r="R35" s="421">
        <f t="shared" si="1"/>
        <v>1.9</v>
      </c>
      <c r="S35" s="82">
        <f t="shared" si="8"/>
        <v>0.43</v>
      </c>
      <c r="T35" s="82">
        <f t="shared" si="9"/>
        <v>0.26</v>
      </c>
      <c r="U35" s="82">
        <f t="shared" si="10"/>
        <v>0</v>
      </c>
      <c r="V35" s="71"/>
      <c r="W35" s="71"/>
      <c r="X35" s="71"/>
      <c r="Y35" s="71"/>
      <c r="Z35" s="76"/>
      <c r="AA35" s="498"/>
      <c r="AB35" s="499"/>
      <c r="AC35" s="504"/>
      <c r="AD35" s="505"/>
      <c r="AE35" s="509"/>
      <c r="AF35" s="508" t="s">
        <v>281</v>
      </c>
      <c r="AG35" s="490" t="s">
        <v>301</v>
      </c>
      <c r="AH35" s="491"/>
      <c r="AI35" s="492"/>
      <c r="AJ35" s="79">
        <v>1.9</v>
      </c>
      <c r="AK35" s="493">
        <v>1.75</v>
      </c>
      <c r="AL35" s="494"/>
      <c r="AM35" s="493">
        <v>1.66</v>
      </c>
      <c r="AN35" s="494"/>
      <c r="AO35" s="80">
        <v>1.6</v>
      </c>
      <c r="AP35" s="79">
        <v>0.43</v>
      </c>
      <c r="AQ35" s="79">
        <v>0.26</v>
      </c>
      <c r="AR35" s="79"/>
      <c r="AT35" s="108"/>
      <c r="AU35" s="109"/>
      <c r="AV35" s="96"/>
      <c r="AW35" s="97"/>
      <c r="AX35" s="116"/>
      <c r="AY35" s="114"/>
      <c r="AZ35" s="490" t="s">
        <v>293</v>
      </c>
      <c r="BA35" s="491"/>
      <c r="BB35" s="492"/>
    </row>
    <row r="36" spans="2:54" ht="19.5" customHeight="1">
      <c r="D36" s="71"/>
      <c r="E36" s="71"/>
      <c r="F36" s="71"/>
      <c r="G36" s="71"/>
      <c r="H36" s="64" t="s">
        <v>347</v>
      </c>
      <c r="I36" s="71"/>
      <c r="J36" s="64" t="s">
        <v>352</v>
      </c>
      <c r="K36" s="71"/>
      <c r="L36" s="64" t="s">
        <v>384</v>
      </c>
      <c r="M36" s="71"/>
      <c r="O36" s="71"/>
      <c r="P36" s="71"/>
      <c r="Q36" s="73" t="str">
        <f t="shared" si="7"/>
        <v>樹脂_又は木_と金属の複合材料製建具_三層複層ガラス_Low_E２枚_ガスの封入されていない_10 ㎜以上 16 ㎜未満</v>
      </c>
      <c r="R36" s="421">
        <f t="shared" si="1"/>
        <v>2.2000000000000002</v>
      </c>
      <c r="S36" s="82">
        <f t="shared" si="8"/>
        <v>0.43</v>
      </c>
      <c r="T36" s="82">
        <f t="shared" si="9"/>
        <v>0.26</v>
      </c>
      <c r="U36" s="82">
        <f t="shared" si="10"/>
        <v>0</v>
      </c>
      <c r="V36" s="71"/>
      <c r="W36" s="71"/>
      <c r="X36" s="71"/>
      <c r="Y36" s="71"/>
      <c r="Z36" s="76"/>
      <c r="AA36" s="498"/>
      <c r="AB36" s="499"/>
      <c r="AC36" s="504"/>
      <c r="AD36" s="505"/>
      <c r="AE36" s="509"/>
      <c r="AF36" s="509"/>
      <c r="AG36" s="490" t="s">
        <v>302</v>
      </c>
      <c r="AH36" s="491"/>
      <c r="AI36" s="492"/>
      <c r="AJ36" s="79">
        <v>2.15</v>
      </c>
      <c r="AK36" s="493">
        <v>1.96</v>
      </c>
      <c r="AL36" s="494"/>
      <c r="AM36" s="493">
        <v>1.86</v>
      </c>
      <c r="AN36" s="494"/>
      <c r="AO36" s="80">
        <v>1.77</v>
      </c>
      <c r="AP36" s="79">
        <v>0.43</v>
      </c>
      <c r="AQ36" s="79">
        <v>0.26</v>
      </c>
      <c r="AR36" s="79"/>
      <c r="AT36" s="108"/>
      <c r="AU36" s="109"/>
      <c r="AV36" s="96"/>
      <c r="AW36" s="97"/>
      <c r="AX36" s="116"/>
      <c r="AY36" s="113" t="s">
        <v>281</v>
      </c>
      <c r="AZ36" s="490" t="s">
        <v>301</v>
      </c>
      <c r="BA36" s="491"/>
      <c r="BB36" s="492"/>
    </row>
    <row r="37" spans="2:54" ht="19.5" customHeight="1">
      <c r="H37" s="65" t="s">
        <v>331</v>
      </c>
      <c r="J37" s="65" t="s">
        <v>361</v>
      </c>
      <c r="L37" s="65" t="s">
        <v>382</v>
      </c>
      <c r="Q37" s="73" t="str">
        <f t="shared" si="7"/>
        <v>樹脂_又は木_と金属の複合材料製建具_三層複層ガラス_Low_E２枚_ガスの封入されていない_8 ㎜以上 10 ㎜未満</v>
      </c>
      <c r="R37" s="421">
        <f t="shared" si="1"/>
        <v>2.2999999999999998</v>
      </c>
      <c r="S37" s="82">
        <f t="shared" si="8"/>
        <v>0.43</v>
      </c>
      <c r="T37" s="82">
        <f t="shared" si="9"/>
        <v>0.26</v>
      </c>
      <c r="U37" s="82">
        <f t="shared" si="10"/>
        <v>0</v>
      </c>
      <c r="Z37" s="76"/>
      <c r="AA37" s="498"/>
      <c r="AB37" s="499"/>
      <c r="AC37" s="504"/>
      <c r="AD37" s="505"/>
      <c r="AE37" s="509"/>
      <c r="AF37" s="509"/>
      <c r="AG37" s="490" t="s">
        <v>292</v>
      </c>
      <c r="AH37" s="491"/>
      <c r="AI37" s="492"/>
      <c r="AJ37" s="79">
        <v>2.33</v>
      </c>
      <c r="AK37" s="493">
        <v>2.11</v>
      </c>
      <c r="AL37" s="494"/>
      <c r="AM37" s="493">
        <v>1.99</v>
      </c>
      <c r="AN37" s="494"/>
      <c r="AO37" s="80">
        <v>1.89</v>
      </c>
      <c r="AP37" s="79">
        <v>0.43</v>
      </c>
      <c r="AQ37" s="79">
        <v>0.26</v>
      </c>
      <c r="AR37" s="79"/>
      <c r="AT37" s="108"/>
      <c r="AU37" s="109"/>
      <c r="AV37" s="96"/>
      <c r="AW37" s="97"/>
      <c r="AX37" s="116"/>
      <c r="AY37" s="115"/>
      <c r="AZ37" s="490" t="s">
        <v>302</v>
      </c>
      <c r="BA37" s="491"/>
      <c r="BB37" s="492"/>
    </row>
    <row r="38" spans="2:54" ht="19.5" customHeight="1">
      <c r="H38" s="65" t="s">
        <v>332</v>
      </c>
      <c r="J38" s="65" t="s">
        <v>362</v>
      </c>
      <c r="L38" s="65" t="s">
        <v>383</v>
      </c>
      <c r="Q38" s="73" t="str">
        <f t="shared" si="7"/>
        <v>樹脂_又は木_と金属の複合材料製建具_三層複層ガラス_Low_E２枚_ガスの封入されていない_8 ㎜未満</v>
      </c>
      <c r="R38" s="421">
        <f t="shared" si="1"/>
        <v>2.9</v>
      </c>
      <c r="S38" s="82">
        <f t="shared" si="8"/>
        <v>0.43</v>
      </c>
      <c r="T38" s="82">
        <f t="shared" si="9"/>
        <v>0.26</v>
      </c>
      <c r="U38" s="82">
        <f t="shared" si="10"/>
        <v>0</v>
      </c>
      <c r="Z38" s="76"/>
      <c r="AA38" s="498"/>
      <c r="AB38" s="499"/>
      <c r="AC38" s="504"/>
      <c r="AD38" s="505"/>
      <c r="AE38" s="510"/>
      <c r="AF38" s="510"/>
      <c r="AG38" s="490" t="s">
        <v>293</v>
      </c>
      <c r="AH38" s="491"/>
      <c r="AI38" s="492"/>
      <c r="AJ38" s="79">
        <v>2.91</v>
      </c>
      <c r="AK38" s="493">
        <v>2.59</v>
      </c>
      <c r="AL38" s="494"/>
      <c r="AM38" s="493">
        <v>2.41</v>
      </c>
      <c r="AN38" s="494"/>
      <c r="AO38" s="80">
        <v>2.2599999999999998</v>
      </c>
      <c r="AP38" s="79">
        <v>0.43</v>
      </c>
      <c r="AQ38" s="79">
        <v>0.26</v>
      </c>
      <c r="AR38" s="79"/>
      <c r="AT38" s="108"/>
      <c r="AU38" s="109"/>
      <c r="AV38" s="96"/>
      <c r="AW38" s="97"/>
      <c r="AX38" s="116"/>
      <c r="AY38" s="115"/>
      <c r="AZ38" s="490" t="s">
        <v>292</v>
      </c>
      <c r="BA38" s="491"/>
      <c r="BB38" s="492"/>
    </row>
    <row r="39" spans="2:54" ht="19.5" customHeight="1">
      <c r="P39" s="60">
        <v>2</v>
      </c>
      <c r="Q39" s="65" t="str">
        <f t="shared" ref="Q39:Q44" si="11">C$8&amp;"_"&amp;F$16&amp;"_"&amp;J17</f>
        <v>樹脂_又は木_と金属の複合材料製建具_三層複層ガラス_Low_E１枚_ガスの封入されている_12 ㎜以上</v>
      </c>
      <c r="R39" s="421">
        <f t="shared" si="1"/>
        <v>2.2000000000000002</v>
      </c>
      <c r="S39" s="82">
        <f t="shared" si="8"/>
        <v>0.47</v>
      </c>
      <c r="T39" s="82">
        <f t="shared" si="9"/>
        <v>0.3</v>
      </c>
      <c r="U39" s="82">
        <f t="shared" si="10"/>
        <v>0</v>
      </c>
      <c r="Z39" s="76"/>
      <c r="AA39" s="498"/>
      <c r="AB39" s="499"/>
      <c r="AC39" s="504"/>
      <c r="AD39" s="505"/>
      <c r="AE39" s="508" t="s">
        <v>284</v>
      </c>
      <c r="AF39" s="508" t="s">
        <v>276</v>
      </c>
      <c r="AG39" s="490" t="s">
        <v>288</v>
      </c>
      <c r="AH39" s="491"/>
      <c r="AI39" s="492"/>
      <c r="AJ39" s="79">
        <v>2.15</v>
      </c>
      <c r="AK39" s="493">
        <v>1.96</v>
      </c>
      <c r="AL39" s="494"/>
      <c r="AM39" s="493">
        <v>1.86</v>
      </c>
      <c r="AN39" s="494"/>
      <c r="AO39" s="80">
        <v>1.77</v>
      </c>
      <c r="AP39" s="79">
        <v>0.47</v>
      </c>
      <c r="AQ39" s="79">
        <v>0.3</v>
      </c>
      <c r="AR39" s="79"/>
      <c r="AT39" s="108"/>
      <c r="AU39" s="109"/>
      <c r="AV39" s="96"/>
      <c r="AW39" s="97"/>
      <c r="AX39" s="117"/>
      <c r="AY39" s="114"/>
      <c r="AZ39" s="490" t="s">
        <v>293</v>
      </c>
      <c r="BA39" s="491"/>
      <c r="BB39" s="492"/>
    </row>
    <row r="40" spans="2:54" ht="19.5" customHeight="1">
      <c r="H40" s="64" t="s">
        <v>387</v>
      </c>
      <c r="J40" s="64" t="s">
        <v>388</v>
      </c>
      <c r="L40" s="64" t="s">
        <v>389</v>
      </c>
      <c r="Q40" s="65" t="str">
        <f t="shared" si="11"/>
        <v>樹脂_又は木_と金属の複合材料製建具_三層複層ガラス_Low_E１枚_ガスの封入されている_9 ㎜以上 12 ㎜未満</v>
      </c>
      <c r="R40" s="421">
        <f t="shared" si="1"/>
        <v>2.2999999999999998</v>
      </c>
      <c r="S40" s="82">
        <f t="shared" si="8"/>
        <v>0.47</v>
      </c>
      <c r="T40" s="82">
        <f t="shared" si="9"/>
        <v>0.3</v>
      </c>
      <c r="U40" s="82">
        <f t="shared" si="10"/>
        <v>0</v>
      </c>
      <c r="Z40" s="76"/>
      <c r="AA40" s="498"/>
      <c r="AB40" s="499"/>
      <c r="AC40" s="504"/>
      <c r="AD40" s="505"/>
      <c r="AE40" s="509"/>
      <c r="AF40" s="509"/>
      <c r="AG40" s="490" t="s">
        <v>303</v>
      </c>
      <c r="AH40" s="491"/>
      <c r="AI40" s="492"/>
      <c r="AJ40" s="79">
        <v>2.33</v>
      </c>
      <c r="AK40" s="493">
        <v>2.11</v>
      </c>
      <c r="AL40" s="494"/>
      <c r="AM40" s="493">
        <v>1.99</v>
      </c>
      <c r="AN40" s="494"/>
      <c r="AO40" s="80">
        <v>1.89</v>
      </c>
      <c r="AP40" s="79">
        <v>0.47</v>
      </c>
      <c r="AQ40" s="79">
        <v>0.3</v>
      </c>
      <c r="AR40" s="79"/>
      <c r="AT40" s="108"/>
      <c r="AU40" s="109"/>
      <c r="AV40" s="96"/>
      <c r="AW40" s="97"/>
      <c r="AX40" s="118" t="s">
        <v>284</v>
      </c>
      <c r="AY40" s="113" t="s">
        <v>276</v>
      </c>
      <c r="AZ40" s="490" t="s">
        <v>288</v>
      </c>
      <c r="BA40" s="491"/>
      <c r="BB40" s="492"/>
    </row>
    <row r="41" spans="2:54" ht="19.5" customHeight="1">
      <c r="H41" s="65" t="s">
        <v>244</v>
      </c>
      <c r="J41" s="65" t="s">
        <v>244</v>
      </c>
      <c r="L41" s="65" t="s">
        <v>244</v>
      </c>
      <c r="Q41" s="65" t="str">
        <f t="shared" si="11"/>
        <v>樹脂_又は木_と金属の複合材料製建具_三層複層ガラス_Low_E１枚_ガスの封入されている_9 ㎜未満</v>
      </c>
      <c r="R41" s="421">
        <f t="shared" si="1"/>
        <v>2.9</v>
      </c>
      <c r="S41" s="82">
        <f t="shared" si="8"/>
        <v>0.47</v>
      </c>
      <c r="T41" s="82">
        <f t="shared" si="9"/>
        <v>0.3</v>
      </c>
      <c r="U41" s="82">
        <f t="shared" si="10"/>
        <v>0</v>
      </c>
      <c r="Z41" s="76"/>
      <c r="AA41" s="498"/>
      <c r="AB41" s="499"/>
      <c r="AC41" s="504"/>
      <c r="AD41" s="505"/>
      <c r="AE41" s="509"/>
      <c r="AF41" s="510"/>
      <c r="AG41" s="490" t="s">
        <v>304</v>
      </c>
      <c r="AH41" s="491"/>
      <c r="AI41" s="492"/>
      <c r="AJ41" s="79">
        <v>2.91</v>
      </c>
      <c r="AK41" s="493">
        <v>2.59</v>
      </c>
      <c r="AL41" s="494"/>
      <c r="AM41" s="493">
        <v>2.41</v>
      </c>
      <c r="AN41" s="494"/>
      <c r="AO41" s="80">
        <v>2.2599999999999998</v>
      </c>
      <c r="AP41" s="79">
        <v>0.47</v>
      </c>
      <c r="AQ41" s="79">
        <v>0.3</v>
      </c>
      <c r="AR41" s="79"/>
      <c r="AT41" s="108"/>
      <c r="AU41" s="109"/>
      <c r="AV41" s="96"/>
      <c r="AW41" s="97"/>
      <c r="AX41" s="116"/>
      <c r="AY41" s="115"/>
      <c r="AZ41" s="490" t="s">
        <v>303</v>
      </c>
      <c r="BA41" s="491"/>
      <c r="BB41" s="492"/>
    </row>
    <row r="42" spans="2:54" ht="19.5" customHeight="1">
      <c r="H42" s="71"/>
      <c r="Q42" s="73" t="str">
        <f t="shared" si="11"/>
        <v>樹脂_又は木_と金属の複合材料製建具_三層複層ガラス_Low_E１枚_ガスの封入されていない_16 ㎜以上</v>
      </c>
      <c r="R42" s="421">
        <f t="shared" si="1"/>
        <v>2.2000000000000002</v>
      </c>
      <c r="S42" s="82">
        <f t="shared" si="8"/>
        <v>0.47</v>
      </c>
      <c r="T42" s="82">
        <f t="shared" si="9"/>
        <v>0.3</v>
      </c>
      <c r="U42" s="82">
        <f t="shared" si="10"/>
        <v>0</v>
      </c>
      <c r="Z42" s="76"/>
      <c r="AA42" s="498"/>
      <c r="AB42" s="499"/>
      <c r="AC42" s="504"/>
      <c r="AD42" s="505"/>
      <c r="AE42" s="509"/>
      <c r="AF42" s="508" t="s">
        <v>281</v>
      </c>
      <c r="AG42" s="490" t="s">
        <v>301</v>
      </c>
      <c r="AH42" s="491"/>
      <c r="AI42" s="492"/>
      <c r="AJ42" s="79">
        <v>2.15</v>
      </c>
      <c r="AK42" s="493">
        <v>1.96</v>
      </c>
      <c r="AL42" s="494"/>
      <c r="AM42" s="493">
        <v>1.86</v>
      </c>
      <c r="AN42" s="494"/>
      <c r="AO42" s="80">
        <v>1.77</v>
      </c>
      <c r="AP42" s="79">
        <v>0.47</v>
      </c>
      <c r="AQ42" s="79">
        <v>0.3</v>
      </c>
      <c r="AR42" s="79"/>
      <c r="AT42" s="108"/>
      <c r="AU42" s="109"/>
      <c r="AV42" s="96"/>
      <c r="AW42" s="97"/>
      <c r="AX42" s="116"/>
      <c r="AY42" s="114"/>
      <c r="AZ42" s="490" t="s">
        <v>304</v>
      </c>
      <c r="BA42" s="491"/>
      <c r="BB42" s="492"/>
    </row>
    <row r="43" spans="2:54" ht="19.5" customHeight="1">
      <c r="H43" s="71"/>
      <c r="J43" s="71"/>
      <c r="L43" s="71"/>
      <c r="N43" s="71"/>
      <c r="Q43" s="73" t="str">
        <f t="shared" si="11"/>
        <v>樹脂_又は木_と金属の複合材料製建具_三層複層ガラス_Low_E１枚_ガスの封入されていない_12 ㎜以上 16 ㎜未満</v>
      </c>
      <c r="R43" s="421">
        <f t="shared" si="1"/>
        <v>2.2999999999999998</v>
      </c>
      <c r="S43" s="82">
        <f t="shared" si="8"/>
        <v>0.47</v>
      </c>
      <c r="T43" s="82">
        <f t="shared" si="9"/>
        <v>0.3</v>
      </c>
      <c r="U43" s="82">
        <f t="shared" si="10"/>
        <v>0</v>
      </c>
      <c r="Z43" s="76"/>
      <c r="AA43" s="498"/>
      <c r="AB43" s="499"/>
      <c r="AC43" s="504"/>
      <c r="AD43" s="505"/>
      <c r="AE43" s="509"/>
      <c r="AF43" s="509"/>
      <c r="AG43" s="490" t="s">
        <v>305</v>
      </c>
      <c r="AH43" s="491"/>
      <c r="AI43" s="492"/>
      <c r="AJ43" s="79">
        <v>2.33</v>
      </c>
      <c r="AK43" s="493">
        <v>2.11</v>
      </c>
      <c r="AL43" s="494"/>
      <c r="AM43" s="493">
        <v>1.99</v>
      </c>
      <c r="AN43" s="494"/>
      <c r="AO43" s="80">
        <v>1.89</v>
      </c>
      <c r="AP43" s="79">
        <v>0.47</v>
      </c>
      <c r="AQ43" s="79">
        <v>0.3</v>
      </c>
      <c r="AR43" s="79"/>
      <c r="AT43" s="108"/>
      <c r="AU43" s="109"/>
      <c r="AV43" s="96"/>
      <c r="AW43" s="97"/>
      <c r="AX43" s="116"/>
      <c r="AY43" s="113" t="s">
        <v>281</v>
      </c>
      <c r="AZ43" s="490" t="s">
        <v>301</v>
      </c>
      <c r="BA43" s="491"/>
      <c r="BB43" s="492"/>
    </row>
    <row r="44" spans="2:54" ht="19.5" customHeight="1">
      <c r="Q44" s="73" t="str">
        <f t="shared" si="11"/>
        <v>樹脂_又は木_と金属の複合材料製建具_三層複層ガラス_Low_E１枚_ガスの封入されていない_12 ㎜未満</v>
      </c>
      <c r="R44" s="421">
        <f t="shared" si="1"/>
        <v>2.9</v>
      </c>
      <c r="S44" s="82">
        <f t="shared" si="8"/>
        <v>0.47</v>
      </c>
      <c r="T44" s="82">
        <f t="shared" si="9"/>
        <v>0.3</v>
      </c>
      <c r="U44" s="82">
        <f t="shared" si="10"/>
        <v>0</v>
      </c>
      <c r="Z44" s="76"/>
      <c r="AA44" s="498"/>
      <c r="AB44" s="499"/>
      <c r="AC44" s="504"/>
      <c r="AD44" s="505"/>
      <c r="AE44" s="510"/>
      <c r="AF44" s="510"/>
      <c r="AG44" s="490" t="s">
        <v>289</v>
      </c>
      <c r="AH44" s="491"/>
      <c r="AI44" s="492"/>
      <c r="AJ44" s="79">
        <v>2.91</v>
      </c>
      <c r="AK44" s="493">
        <v>2.59</v>
      </c>
      <c r="AL44" s="494"/>
      <c r="AM44" s="493">
        <v>2.41</v>
      </c>
      <c r="AN44" s="494"/>
      <c r="AO44" s="80">
        <v>2.2599999999999998</v>
      </c>
      <c r="AP44" s="79">
        <v>0.47</v>
      </c>
      <c r="AQ44" s="79">
        <v>0.3</v>
      </c>
      <c r="AR44" s="79"/>
      <c r="AT44" s="108"/>
      <c r="AU44" s="109"/>
      <c r="AV44" s="96"/>
      <c r="AW44" s="97"/>
      <c r="AX44" s="116"/>
      <c r="AY44" s="115"/>
      <c r="AZ44" s="490" t="s">
        <v>305</v>
      </c>
      <c r="BA44" s="491"/>
      <c r="BB44" s="492"/>
    </row>
    <row r="45" spans="2:54" ht="19.5" customHeight="1">
      <c r="P45" s="60">
        <v>3</v>
      </c>
      <c r="Q45" s="65" t="str">
        <f>C$8&amp;"_"&amp;F$17&amp;"_"&amp;J25</f>
        <v>樹脂_又は木_と金属の複合材料製建具_三層複層ガラス_一般_ガスの封入されていない_7 ㎜以上</v>
      </c>
      <c r="R45" s="421">
        <f t="shared" si="1"/>
        <v>2.9</v>
      </c>
      <c r="S45" s="82">
        <f t="shared" si="8"/>
        <v>0</v>
      </c>
      <c r="T45" s="82">
        <f t="shared" si="9"/>
        <v>0</v>
      </c>
      <c r="U45" s="82">
        <f t="shared" si="10"/>
        <v>0.57999999999999996</v>
      </c>
      <c r="Z45" s="76"/>
      <c r="AA45" s="498"/>
      <c r="AB45" s="499"/>
      <c r="AC45" s="504"/>
      <c r="AD45" s="505"/>
      <c r="AE45" s="508" t="s">
        <v>287</v>
      </c>
      <c r="AF45" s="508" t="s">
        <v>281</v>
      </c>
      <c r="AG45" s="490" t="s">
        <v>306</v>
      </c>
      <c r="AH45" s="491"/>
      <c r="AI45" s="492"/>
      <c r="AJ45" s="79">
        <v>2.91</v>
      </c>
      <c r="AK45" s="493">
        <v>2.59</v>
      </c>
      <c r="AL45" s="494"/>
      <c r="AM45" s="493">
        <v>2.41</v>
      </c>
      <c r="AN45" s="494"/>
      <c r="AO45" s="80">
        <v>2.2599999999999998</v>
      </c>
      <c r="AP45" s="79"/>
      <c r="AQ45" s="79"/>
      <c r="AR45" s="79">
        <v>0.57999999999999996</v>
      </c>
      <c r="AT45" s="108"/>
      <c r="AU45" s="109"/>
      <c r="AV45" s="96"/>
      <c r="AW45" s="97"/>
      <c r="AX45" s="117"/>
      <c r="AY45" s="114"/>
      <c r="AZ45" s="490" t="s">
        <v>289</v>
      </c>
      <c r="BA45" s="491"/>
      <c r="BB45" s="492"/>
    </row>
    <row r="46" spans="2:54" ht="19.5" customHeight="1">
      <c r="Q46" s="65" t="str">
        <f>C$8&amp;"_"&amp;F$17&amp;"_"&amp;J26</f>
        <v>樹脂_又は木_と金属の複合材料製建具_三層複層ガラス_一般_ガスの封入されていない_7 ㎜未満</v>
      </c>
      <c r="R46" s="421">
        <f t="shared" si="1"/>
        <v>3.5</v>
      </c>
      <c r="S46" s="82">
        <f t="shared" si="8"/>
        <v>0</v>
      </c>
      <c r="T46" s="82">
        <f t="shared" si="9"/>
        <v>0</v>
      </c>
      <c r="U46" s="82">
        <f t="shared" si="10"/>
        <v>0.57999999999999996</v>
      </c>
      <c r="Z46" s="76"/>
      <c r="AA46" s="498"/>
      <c r="AB46" s="499"/>
      <c r="AC46" s="506"/>
      <c r="AD46" s="507"/>
      <c r="AE46" s="510"/>
      <c r="AF46" s="510"/>
      <c r="AG46" s="490" t="s">
        <v>280</v>
      </c>
      <c r="AH46" s="491"/>
      <c r="AI46" s="492"/>
      <c r="AJ46" s="79">
        <v>3.49</v>
      </c>
      <c r="AK46" s="493">
        <v>3.04</v>
      </c>
      <c r="AL46" s="494"/>
      <c r="AM46" s="493">
        <v>2.82</v>
      </c>
      <c r="AN46" s="494"/>
      <c r="AO46" s="80">
        <v>2.59</v>
      </c>
      <c r="AP46" s="79"/>
      <c r="AQ46" s="79"/>
      <c r="AR46" s="79">
        <v>0.57999999999999996</v>
      </c>
      <c r="AT46" s="108"/>
      <c r="AU46" s="109"/>
      <c r="AV46" s="96"/>
      <c r="AW46" s="97"/>
      <c r="AX46" s="118" t="s">
        <v>287</v>
      </c>
      <c r="AY46" s="113" t="s">
        <v>281</v>
      </c>
      <c r="AZ46" s="490" t="s">
        <v>306</v>
      </c>
      <c r="BA46" s="491"/>
      <c r="BB46" s="492"/>
    </row>
    <row r="47" spans="2:54" ht="19.5" customHeight="1">
      <c r="B47" s="60" t="s">
        <v>245</v>
      </c>
      <c r="P47" s="60">
        <v>4</v>
      </c>
      <c r="Q47" s="65" t="str">
        <f>C$8&amp;"_"&amp;F$18&amp;"_"&amp;J29</f>
        <v>樹脂_又は木_と金属の複合材料製建具_二層複層ガラス_Low_E_ガスの封入されている_14 ㎜以上</v>
      </c>
      <c r="R47" s="421">
        <f t="shared" si="1"/>
        <v>2.2999999999999998</v>
      </c>
      <c r="S47" s="82">
        <f t="shared" si="8"/>
        <v>0.51</v>
      </c>
      <c r="T47" s="82">
        <f t="shared" si="9"/>
        <v>0.32</v>
      </c>
      <c r="U47" s="82">
        <f t="shared" si="10"/>
        <v>0</v>
      </c>
      <c r="Z47" s="76"/>
      <c r="AA47" s="498"/>
      <c r="AB47" s="499"/>
      <c r="AC47" s="502" t="s">
        <v>290</v>
      </c>
      <c r="AD47" s="503"/>
      <c r="AE47" s="508" t="s">
        <v>291</v>
      </c>
      <c r="AF47" s="508" t="s">
        <v>276</v>
      </c>
      <c r="AG47" s="490" t="s">
        <v>294</v>
      </c>
      <c r="AH47" s="491"/>
      <c r="AI47" s="492"/>
      <c r="AJ47" s="79">
        <v>2.33</v>
      </c>
      <c r="AK47" s="493">
        <v>2.11</v>
      </c>
      <c r="AL47" s="494"/>
      <c r="AM47" s="493">
        <v>1.99</v>
      </c>
      <c r="AN47" s="494"/>
      <c r="AO47" s="80">
        <v>1.89</v>
      </c>
      <c r="AP47" s="79">
        <v>0.51</v>
      </c>
      <c r="AQ47" s="79">
        <v>0.32</v>
      </c>
      <c r="AR47" s="79"/>
      <c r="AT47" s="108"/>
      <c r="AU47" s="109"/>
      <c r="AV47" s="98"/>
      <c r="AW47" s="99"/>
      <c r="AX47" s="117"/>
      <c r="AY47" s="114"/>
      <c r="AZ47" s="490" t="s">
        <v>280</v>
      </c>
      <c r="BA47" s="491"/>
      <c r="BB47" s="492"/>
    </row>
    <row r="48" spans="2:54" ht="19.5" customHeight="1">
      <c r="C48" s="62" t="str">
        <f>C6</f>
        <v>建具の仕様</v>
      </c>
      <c r="Q48" s="65" t="str">
        <f>C$8&amp;"_"&amp;F$18&amp;"_"&amp;J30</f>
        <v>樹脂_又は木_と金属の複合材料製建具_二層複層ガラス_Low_E_ガスの封入されている_14 ㎜未満</v>
      </c>
      <c r="R48" s="421">
        <f t="shared" si="1"/>
        <v>2.9</v>
      </c>
      <c r="S48" s="82">
        <f t="shared" si="8"/>
        <v>0.51</v>
      </c>
      <c r="T48" s="82">
        <f t="shared" si="9"/>
        <v>0.32</v>
      </c>
      <c r="U48" s="82">
        <f t="shared" si="10"/>
        <v>0</v>
      </c>
      <c r="Z48" s="76"/>
      <c r="AA48" s="498"/>
      <c r="AB48" s="499"/>
      <c r="AC48" s="504"/>
      <c r="AD48" s="505"/>
      <c r="AE48" s="509"/>
      <c r="AF48" s="510"/>
      <c r="AG48" s="490" t="s">
        <v>307</v>
      </c>
      <c r="AH48" s="491"/>
      <c r="AI48" s="492"/>
      <c r="AJ48" s="79">
        <v>2.91</v>
      </c>
      <c r="AK48" s="493">
        <v>2.59</v>
      </c>
      <c r="AL48" s="494"/>
      <c r="AM48" s="493">
        <v>2.41</v>
      </c>
      <c r="AN48" s="494"/>
      <c r="AO48" s="80">
        <v>2.2599999999999998</v>
      </c>
      <c r="AP48" s="79">
        <v>0.51</v>
      </c>
      <c r="AQ48" s="79">
        <v>0.32</v>
      </c>
      <c r="AR48" s="79"/>
      <c r="AT48" s="108"/>
      <c r="AU48" s="109"/>
      <c r="AV48" s="100" t="s">
        <v>290</v>
      </c>
      <c r="AW48" s="101"/>
      <c r="AX48" s="118" t="s">
        <v>291</v>
      </c>
      <c r="AY48" s="113" t="s">
        <v>276</v>
      </c>
      <c r="AZ48" s="490" t="s">
        <v>294</v>
      </c>
      <c r="BA48" s="491"/>
      <c r="BB48" s="492"/>
    </row>
    <row r="49" spans="3:54" ht="19.5" customHeight="1">
      <c r="C49" s="65" t="str">
        <f>C7</f>
        <v>樹脂製建具又は木製建具</v>
      </c>
      <c r="Q49" s="73" t="str">
        <f>C$8&amp;"_"&amp;F$18&amp;"_"&amp;J31</f>
        <v>樹脂_又は木_と金属の複合材料製建具_二層複層ガラス_Low_E_ガスの封入されていない_9 ㎜以上</v>
      </c>
      <c r="R49" s="421">
        <f t="shared" si="1"/>
        <v>2.9</v>
      </c>
      <c r="S49" s="82">
        <f t="shared" si="8"/>
        <v>0.51</v>
      </c>
      <c r="T49" s="82">
        <f t="shared" si="9"/>
        <v>0.32</v>
      </c>
      <c r="U49" s="82">
        <f t="shared" si="10"/>
        <v>0</v>
      </c>
      <c r="Z49" s="76"/>
      <c r="AA49" s="498"/>
      <c r="AB49" s="499"/>
      <c r="AC49" s="504"/>
      <c r="AD49" s="505"/>
      <c r="AE49" s="509"/>
      <c r="AF49" s="508" t="s">
        <v>281</v>
      </c>
      <c r="AG49" s="490" t="s">
        <v>308</v>
      </c>
      <c r="AH49" s="491"/>
      <c r="AI49" s="492"/>
      <c r="AJ49" s="79">
        <v>2.91</v>
      </c>
      <c r="AK49" s="493">
        <v>2.59</v>
      </c>
      <c r="AL49" s="494"/>
      <c r="AM49" s="493">
        <v>2.41</v>
      </c>
      <c r="AN49" s="494"/>
      <c r="AO49" s="80">
        <v>2.2599999999999998</v>
      </c>
      <c r="AP49" s="79">
        <v>0.51</v>
      </c>
      <c r="AQ49" s="79">
        <v>0.32</v>
      </c>
      <c r="AR49" s="79"/>
      <c r="AT49" s="108"/>
      <c r="AU49" s="109"/>
      <c r="AV49" s="96"/>
      <c r="AW49" s="97"/>
      <c r="AX49" s="116"/>
      <c r="AY49" s="114"/>
      <c r="AZ49" s="490" t="s">
        <v>307</v>
      </c>
      <c r="BA49" s="491"/>
      <c r="BB49" s="492"/>
    </row>
    <row r="50" spans="3:54" ht="19.5" customHeight="1">
      <c r="C50" s="65" t="str">
        <f>C8</f>
        <v>樹脂_又は木_と金属の複合材料製建具</v>
      </c>
      <c r="Q50" s="73" t="str">
        <f>C$8&amp;"_"&amp;F$18&amp;"_"&amp;J32</f>
        <v>樹脂_又は木_と金属の複合材料製建具_二層複層ガラス_Low_E_ガスの封入されていない_9 ㎜未満</v>
      </c>
      <c r="R50" s="421">
        <f t="shared" si="1"/>
        <v>3.5</v>
      </c>
      <c r="S50" s="82">
        <f t="shared" si="8"/>
        <v>0.51</v>
      </c>
      <c r="T50" s="82">
        <f t="shared" si="9"/>
        <v>0.32</v>
      </c>
      <c r="U50" s="82">
        <f t="shared" si="10"/>
        <v>0</v>
      </c>
      <c r="Z50" s="76"/>
      <c r="AA50" s="498"/>
      <c r="AB50" s="499"/>
      <c r="AC50" s="504"/>
      <c r="AD50" s="505"/>
      <c r="AE50" s="510"/>
      <c r="AF50" s="510"/>
      <c r="AG50" s="490" t="s">
        <v>304</v>
      </c>
      <c r="AH50" s="491"/>
      <c r="AI50" s="492"/>
      <c r="AJ50" s="79">
        <v>3.49</v>
      </c>
      <c r="AK50" s="493">
        <v>3.04</v>
      </c>
      <c r="AL50" s="494"/>
      <c r="AM50" s="493">
        <v>2.82</v>
      </c>
      <c r="AN50" s="494"/>
      <c r="AO50" s="80">
        <v>2.59</v>
      </c>
      <c r="AP50" s="79">
        <v>0.51</v>
      </c>
      <c r="AQ50" s="79">
        <v>0.32</v>
      </c>
      <c r="AR50" s="79"/>
      <c r="AT50" s="108"/>
      <c r="AU50" s="109"/>
      <c r="AV50" s="96"/>
      <c r="AW50" s="97"/>
      <c r="AX50" s="116"/>
      <c r="AY50" s="113" t="s">
        <v>281</v>
      </c>
      <c r="AZ50" s="490" t="s">
        <v>308</v>
      </c>
      <c r="BA50" s="491"/>
      <c r="BB50" s="492"/>
    </row>
    <row r="51" spans="3:54" ht="19.5" customHeight="1">
      <c r="C51" s="69" t="str">
        <f>C9</f>
        <v>その他・金属製建具・金属製熱遮断構造建具等</v>
      </c>
      <c r="P51" s="60">
        <v>5</v>
      </c>
      <c r="Q51" s="65" t="str">
        <f>C$8&amp;"_"&amp;F$19&amp;"_"&amp;J37</f>
        <v>樹脂_又は木_と金属の複合材料製建具_二層複層ガラス_一般_ガスの封入されていない_11 ㎜以上</v>
      </c>
      <c r="R51" s="421">
        <f t="shared" si="1"/>
        <v>3.5</v>
      </c>
      <c r="S51" s="82">
        <f t="shared" si="8"/>
        <v>0</v>
      </c>
      <c r="T51" s="82">
        <f t="shared" si="9"/>
        <v>0</v>
      </c>
      <c r="U51" s="82">
        <f t="shared" si="10"/>
        <v>0.63</v>
      </c>
      <c r="Z51" s="76"/>
      <c r="AA51" s="498"/>
      <c r="AB51" s="499"/>
      <c r="AC51" s="504"/>
      <c r="AD51" s="505"/>
      <c r="AE51" s="508" t="s">
        <v>287</v>
      </c>
      <c r="AF51" s="508" t="s">
        <v>281</v>
      </c>
      <c r="AG51" s="490" t="s">
        <v>309</v>
      </c>
      <c r="AH51" s="491"/>
      <c r="AI51" s="492"/>
      <c r="AJ51" s="79">
        <v>3.49</v>
      </c>
      <c r="AK51" s="493">
        <v>3.04</v>
      </c>
      <c r="AL51" s="494"/>
      <c r="AM51" s="493">
        <v>2.82</v>
      </c>
      <c r="AN51" s="494"/>
      <c r="AO51" s="80">
        <v>2.59</v>
      </c>
      <c r="AP51" s="79"/>
      <c r="AQ51" s="79"/>
      <c r="AR51" s="79">
        <v>0.63</v>
      </c>
      <c r="AT51" s="108"/>
      <c r="AU51" s="109"/>
      <c r="AV51" s="96"/>
      <c r="AW51" s="97"/>
      <c r="AX51" s="117"/>
      <c r="AY51" s="114"/>
      <c r="AZ51" s="490" t="s">
        <v>304</v>
      </c>
      <c r="BA51" s="491"/>
      <c r="BB51" s="492"/>
    </row>
    <row r="52" spans="3:54" ht="19.5" customHeight="1">
      <c r="C52" s="69">
        <f>C10</f>
        <v>0</v>
      </c>
      <c r="Q52" s="65" t="str">
        <f>C$8&amp;"_"&amp;F$19&amp;"_"&amp;J38</f>
        <v>樹脂_又は木_と金属の複合材料製建具_二層複層ガラス_一般_ガスの封入されていない_11 ㎜未満</v>
      </c>
      <c r="R52" s="421">
        <f t="shared" si="1"/>
        <v>4.0999999999999996</v>
      </c>
      <c r="S52" s="82">
        <f t="shared" si="8"/>
        <v>0</v>
      </c>
      <c r="T52" s="82">
        <f t="shared" si="9"/>
        <v>0</v>
      </c>
      <c r="U52" s="82">
        <f t="shared" si="10"/>
        <v>0.63</v>
      </c>
      <c r="Z52" s="76"/>
      <c r="AA52" s="498"/>
      <c r="AB52" s="499"/>
      <c r="AC52" s="506"/>
      <c r="AD52" s="507"/>
      <c r="AE52" s="510"/>
      <c r="AF52" s="510"/>
      <c r="AG52" s="490" t="s">
        <v>296</v>
      </c>
      <c r="AH52" s="491"/>
      <c r="AI52" s="492"/>
      <c r="AJ52" s="79">
        <v>4.07</v>
      </c>
      <c r="AK52" s="493">
        <v>3.49</v>
      </c>
      <c r="AL52" s="494"/>
      <c r="AM52" s="493">
        <v>3.21</v>
      </c>
      <c r="AN52" s="494"/>
      <c r="AO52" s="80">
        <v>2.9</v>
      </c>
      <c r="AP52" s="79"/>
      <c r="AQ52" s="79"/>
      <c r="AR52" s="79">
        <v>0.63</v>
      </c>
      <c r="AT52" s="108"/>
      <c r="AU52" s="109"/>
      <c r="AV52" s="96"/>
      <c r="AW52" s="97"/>
      <c r="AX52" s="118" t="s">
        <v>287</v>
      </c>
      <c r="AY52" s="113" t="s">
        <v>281</v>
      </c>
      <c r="AZ52" s="490" t="s">
        <v>309</v>
      </c>
      <c r="BA52" s="491"/>
      <c r="BB52" s="492"/>
    </row>
    <row r="53" spans="3:54" ht="19.5" customHeight="1">
      <c r="P53" s="60">
        <v>6</v>
      </c>
      <c r="Q53" s="65" t="str">
        <f>C$8&amp;"_"&amp;F$20&amp;"_"&amp;J41</f>
        <v>樹脂_又は木_と金属の複合材料製建具_単板ガラス_－</v>
      </c>
      <c r="R53" s="421">
        <f t="shared" si="1"/>
        <v>6.5</v>
      </c>
      <c r="S53" s="82">
        <f t="shared" si="8"/>
        <v>0</v>
      </c>
      <c r="T53" s="82">
        <f t="shared" si="9"/>
        <v>0</v>
      </c>
      <c r="U53" s="82">
        <f t="shared" si="10"/>
        <v>0.7</v>
      </c>
      <c r="Z53" s="76"/>
      <c r="AA53" s="500"/>
      <c r="AB53" s="501"/>
      <c r="AC53" s="511" t="s">
        <v>298</v>
      </c>
      <c r="AD53" s="512"/>
      <c r="AE53" s="81" t="s">
        <v>299</v>
      </c>
      <c r="AF53" s="81" t="s">
        <v>299</v>
      </c>
      <c r="AG53" s="490" t="s">
        <v>299</v>
      </c>
      <c r="AH53" s="491"/>
      <c r="AI53" s="492"/>
      <c r="AJ53" s="79">
        <v>6.51</v>
      </c>
      <c r="AK53" s="493">
        <v>5.23</v>
      </c>
      <c r="AL53" s="494"/>
      <c r="AM53" s="493">
        <v>4.76</v>
      </c>
      <c r="AN53" s="494"/>
      <c r="AO53" s="80">
        <v>3.95</v>
      </c>
      <c r="AP53" s="79"/>
      <c r="AQ53" s="79"/>
      <c r="AR53" s="79">
        <v>0.7</v>
      </c>
      <c r="AT53" s="108"/>
      <c r="AU53" s="109"/>
      <c r="AV53" s="98"/>
      <c r="AW53" s="99"/>
      <c r="AX53" s="117"/>
      <c r="AY53" s="114"/>
      <c r="AZ53" s="490" t="s">
        <v>296</v>
      </c>
      <c r="BA53" s="491"/>
      <c r="BB53" s="492"/>
    </row>
    <row r="54" spans="3:54" ht="19.5" customHeight="1">
      <c r="P54" s="60">
        <v>1</v>
      </c>
      <c r="Q54" s="65" t="str">
        <f>C$9&amp;"_"&amp;F$23&amp;"_"&amp;L29</f>
        <v>その他・金属製建具・金属製熱遮断構造建具等_二層複層ガラス_Low_E_ガスの封されている_10 ㎜以上</v>
      </c>
      <c r="R54" s="421">
        <f t="shared" si="1"/>
        <v>2.9</v>
      </c>
      <c r="S54" s="82">
        <f t="shared" ref="S54:S61" si="12">AP54</f>
        <v>0.51</v>
      </c>
      <c r="T54" s="82">
        <f t="shared" ref="T54:T61" si="13">AQ54</f>
        <v>0.32</v>
      </c>
      <c r="U54" s="82">
        <f t="shared" ref="U54:U61" si="14">AR54</f>
        <v>0</v>
      </c>
      <c r="Z54" s="76"/>
      <c r="AA54" s="496" t="s">
        <v>310</v>
      </c>
      <c r="AB54" s="497"/>
      <c r="AC54" s="502" t="s">
        <v>290</v>
      </c>
      <c r="AD54" s="503"/>
      <c r="AE54" s="508" t="s">
        <v>291</v>
      </c>
      <c r="AF54" s="508" t="s">
        <v>276</v>
      </c>
      <c r="AG54" s="490" t="s">
        <v>285</v>
      </c>
      <c r="AH54" s="491"/>
      <c r="AI54" s="492"/>
      <c r="AJ54" s="79">
        <v>2.91</v>
      </c>
      <c r="AK54" s="493">
        <v>2.59</v>
      </c>
      <c r="AL54" s="494"/>
      <c r="AM54" s="493">
        <v>2.41</v>
      </c>
      <c r="AN54" s="494"/>
      <c r="AO54" s="80">
        <v>2.2599999999999998</v>
      </c>
      <c r="AP54" s="79">
        <v>0.51</v>
      </c>
      <c r="AQ54" s="79">
        <v>0.32</v>
      </c>
      <c r="AR54" s="79"/>
      <c r="AT54" s="110"/>
      <c r="AU54" s="111"/>
      <c r="AV54" s="104" t="s">
        <v>298</v>
      </c>
      <c r="AW54" s="105"/>
      <c r="AX54" s="119" t="s">
        <v>299</v>
      </c>
      <c r="AY54" s="81" t="s">
        <v>299</v>
      </c>
      <c r="AZ54" s="490" t="s">
        <v>299</v>
      </c>
      <c r="BA54" s="491"/>
      <c r="BB54" s="492"/>
    </row>
    <row r="55" spans="3:54" ht="19.5" customHeight="1">
      <c r="Q55" s="65" t="str">
        <f>C$9&amp;"_"&amp;F$23&amp;"_"&amp;L30</f>
        <v>その他・金属製建具・金属製熱遮断構造建具等_二層複層ガラス_Low_E_ガスの封されている_10 ㎜未満</v>
      </c>
      <c r="R55" s="421">
        <f t="shared" si="1"/>
        <v>3.5</v>
      </c>
      <c r="S55" s="82">
        <f t="shared" si="12"/>
        <v>0.51</v>
      </c>
      <c r="T55" s="82">
        <f t="shared" si="13"/>
        <v>0.32</v>
      </c>
      <c r="U55" s="82">
        <f t="shared" si="14"/>
        <v>0</v>
      </c>
      <c r="Z55" s="76"/>
      <c r="AA55" s="498"/>
      <c r="AB55" s="499"/>
      <c r="AC55" s="504"/>
      <c r="AD55" s="505"/>
      <c r="AE55" s="509"/>
      <c r="AF55" s="510"/>
      <c r="AG55" s="490" t="s">
        <v>286</v>
      </c>
      <c r="AH55" s="491"/>
      <c r="AI55" s="492"/>
      <c r="AJ55" s="79">
        <v>3.49</v>
      </c>
      <c r="AK55" s="493">
        <v>3.04</v>
      </c>
      <c r="AL55" s="494"/>
      <c r="AM55" s="493">
        <v>2.82</v>
      </c>
      <c r="AN55" s="494"/>
      <c r="AO55" s="80">
        <v>2.59</v>
      </c>
      <c r="AP55" s="79">
        <v>0.51</v>
      </c>
      <c r="AQ55" s="79">
        <v>0.32</v>
      </c>
      <c r="AR55" s="79"/>
      <c r="AT55" s="112" t="s">
        <v>310</v>
      </c>
      <c r="AU55" s="107"/>
      <c r="AV55" s="100" t="s">
        <v>290</v>
      </c>
      <c r="AW55" s="101"/>
      <c r="AX55" s="118" t="s">
        <v>291</v>
      </c>
      <c r="AY55" s="113" t="s">
        <v>276</v>
      </c>
      <c r="AZ55" s="490" t="s">
        <v>285</v>
      </c>
      <c r="BA55" s="491"/>
      <c r="BB55" s="492"/>
    </row>
    <row r="56" spans="3:54" ht="19.5" customHeight="1">
      <c r="Q56" s="73" t="str">
        <f>C$9&amp;"_"&amp;F$23&amp;"_"&amp;L31</f>
        <v>その他・金属製建具・金属製熱遮断構造建具等_二層複層ガラス_Low_E_ガスの封されていない_14 ㎜以上</v>
      </c>
      <c r="R56" s="421">
        <f t="shared" si="1"/>
        <v>2.9</v>
      </c>
      <c r="S56" s="82">
        <f t="shared" si="12"/>
        <v>0.51</v>
      </c>
      <c r="T56" s="82">
        <f t="shared" si="13"/>
        <v>0.32</v>
      </c>
      <c r="U56" s="82">
        <f t="shared" si="14"/>
        <v>0</v>
      </c>
      <c r="Z56" s="76"/>
      <c r="AA56" s="498"/>
      <c r="AB56" s="499"/>
      <c r="AC56" s="504"/>
      <c r="AD56" s="505"/>
      <c r="AE56" s="509"/>
      <c r="AF56" s="508" t="s">
        <v>281</v>
      </c>
      <c r="AG56" s="490" t="s">
        <v>294</v>
      </c>
      <c r="AH56" s="491"/>
      <c r="AI56" s="492"/>
      <c r="AJ56" s="79">
        <v>2.91</v>
      </c>
      <c r="AK56" s="493">
        <v>2.59</v>
      </c>
      <c r="AL56" s="494"/>
      <c r="AM56" s="493">
        <v>2.41</v>
      </c>
      <c r="AN56" s="494"/>
      <c r="AO56" s="80">
        <v>2.2599999999999998</v>
      </c>
      <c r="AP56" s="79">
        <v>0.51</v>
      </c>
      <c r="AQ56" s="79">
        <v>0.32</v>
      </c>
      <c r="AR56" s="79"/>
      <c r="AT56" s="108"/>
      <c r="AU56" s="109"/>
      <c r="AV56" s="96"/>
      <c r="AW56" s="97"/>
      <c r="AX56" s="116"/>
      <c r="AY56" s="114"/>
      <c r="AZ56" s="490" t="s">
        <v>286</v>
      </c>
      <c r="BA56" s="491"/>
      <c r="BB56" s="492"/>
    </row>
    <row r="57" spans="3:54" ht="19.5" customHeight="1">
      <c r="Q57" s="73" t="str">
        <f>C$9&amp;"_"&amp;F$23&amp;"_"&amp;L32</f>
        <v>その他・金属製建具・金属製熱遮断構造建具等_二層複層ガラス_Low_E_ガスの封されていない_7 ㎜以上 14 ㎜未満</v>
      </c>
      <c r="R57" s="421">
        <f t="shared" si="1"/>
        <v>3.5</v>
      </c>
      <c r="S57" s="82">
        <f t="shared" si="12"/>
        <v>0.51</v>
      </c>
      <c r="T57" s="82">
        <f t="shared" si="13"/>
        <v>0.32</v>
      </c>
      <c r="U57" s="82">
        <f t="shared" si="14"/>
        <v>0</v>
      </c>
      <c r="Z57" s="76"/>
      <c r="AA57" s="498"/>
      <c r="AB57" s="499"/>
      <c r="AC57" s="504"/>
      <c r="AD57" s="505"/>
      <c r="AE57" s="509"/>
      <c r="AF57" s="509"/>
      <c r="AG57" s="490" t="s">
        <v>311</v>
      </c>
      <c r="AH57" s="491"/>
      <c r="AI57" s="492"/>
      <c r="AJ57" s="79">
        <v>3.49</v>
      </c>
      <c r="AK57" s="493">
        <v>3.04</v>
      </c>
      <c r="AL57" s="494"/>
      <c r="AM57" s="493">
        <v>2.82</v>
      </c>
      <c r="AN57" s="494"/>
      <c r="AO57" s="80">
        <v>2.59</v>
      </c>
      <c r="AP57" s="79">
        <v>0.51</v>
      </c>
      <c r="AQ57" s="79">
        <v>0.32</v>
      </c>
      <c r="AR57" s="79"/>
      <c r="AT57" s="108"/>
      <c r="AU57" s="109"/>
      <c r="AV57" s="96"/>
      <c r="AW57" s="97"/>
      <c r="AX57" s="116"/>
      <c r="AY57" s="113" t="s">
        <v>281</v>
      </c>
      <c r="AZ57" s="490" t="s">
        <v>294</v>
      </c>
      <c r="BA57" s="491"/>
      <c r="BB57" s="492"/>
    </row>
    <row r="58" spans="3:54" ht="19.5" customHeight="1">
      <c r="Q58" s="73" t="str">
        <f>C$9&amp;"_"&amp;F$23&amp;"_"&amp;L33</f>
        <v>その他・金属製建具・金属製熱遮断構造建具等_二層複層ガラス_Low_E_ガスの封されていない_7 ㎜未満</v>
      </c>
      <c r="R58" s="421">
        <f t="shared" si="1"/>
        <v>4.0999999999999996</v>
      </c>
      <c r="S58" s="82">
        <f t="shared" si="12"/>
        <v>0.51</v>
      </c>
      <c r="T58" s="82">
        <f t="shared" si="13"/>
        <v>0.32</v>
      </c>
      <c r="U58" s="82">
        <f t="shared" si="14"/>
        <v>0</v>
      </c>
      <c r="Z58" s="76"/>
      <c r="AA58" s="498"/>
      <c r="AB58" s="499"/>
      <c r="AC58" s="504"/>
      <c r="AD58" s="505"/>
      <c r="AE58" s="510"/>
      <c r="AF58" s="510"/>
      <c r="AG58" s="490" t="s">
        <v>280</v>
      </c>
      <c r="AH58" s="491"/>
      <c r="AI58" s="492"/>
      <c r="AJ58" s="79">
        <v>4.07</v>
      </c>
      <c r="AK58" s="493">
        <v>3.49</v>
      </c>
      <c r="AL58" s="494"/>
      <c r="AM58" s="493">
        <v>3.21</v>
      </c>
      <c r="AN58" s="494"/>
      <c r="AO58" s="80">
        <v>2.9</v>
      </c>
      <c r="AP58" s="79">
        <v>0.51</v>
      </c>
      <c r="AQ58" s="79">
        <v>0.32</v>
      </c>
      <c r="AR58" s="79"/>
      <c r="AT58" s="108"/>
      <c r="AU58" s="109"/>
      <c r="AV58" s="96"/>
      <c r="AW58" s="97"/>
      <c r="AX58" s="116"/>
      <c r="AY58" s="115"/>
      <c r="AZ58" s="490" t="s">
        <v>311</v>
      </c>
      <c r="BA58" s="491"/>
      <c r="BB58" s="492"/>
    </row>
    <row r="59" spans="3:54" ht="19.5" customHeight="1">
      <c r="P59" s="60">
        <v>2</v>
      </c>
      <c r="Q59" s="65" t="str">
        <f>C$9&amp;"_"&amp;F$24&amp;"_"&amp;L37</f>
        <v>その他・金属製建具・金属製熱遮断構造建具等_二層複層ガラス_一般_ガスの封されていない_8 ㎜以上</v>
      </c>
      <c r="R59" s="421">
        <f t="shared" si="1"/>
        <v>4.0999999999999996</v>
      </c>
      <c r="S59" s="82">
        <f t="shared" si="12"/>
        <v>0</v>
      </c>
      <c r="T59" s="82">
        <f t="shared" si="13"/>
        <v>0</v>
      </c>
      <c r="U59" s="82">
        <f t="shared" si="14"/>
        <v>0.63</v>
      </c>
      <c r="Z59" s="76"/>
      <c r="AA59" s="498"/>
      <c r="AB59" s="499"/>
      <c r="AC59" s="504"/>
      <c r="AD59" s="505"/>
      <c r="AE59" s="508" t="s">
        <v>287</v>
      </c>
      <c r="AF59" s="508" t="s">
        <v>281</v>
      </c>
      <c r="AG59" s="490" t="s">
        <v>312</v>
      </c>
      <c r="AH59" s="491"/>
      <c r="AI59" s="492"/>
      <c r="AJ59" s="79">
        <v>4.07</v>
      </c>
      <c r="AK59" s="493">
        <v>3.49</v>
      </c>
      <c r="AL59" s="494"/>
      <c r="AM59" s="493">
        <v>3.21</v>
      </c>
      <c r="AN59" s="494"/>
      <c r="AO59" s="80">
        <v>2.9</v>
      </c>
      <c r="AP59" s="79"/>
      <c r="AQ59" s="79"/>
      <c r="AR59" s="79">
        <v>0.63</v>
      </c>
      <c r="AT59" s="108"/>
      <c r="AU59" s="109"/>
      <c r="AV59" s="96"/>
      <c r="AW59" s="97"/>
      <c r="AX59" s="117"/>
      <c r="AY59" s="114"/>
      <c r="AZ59" s="490" t="s">
        <v>280</v>
      </c>
      <c r="BA59" s="491"/>
      <c r="BB59" s="492"/>
    </row>
    <row r="60" spans="3:54" ht="19.5" customHeight="1">
      <c r="Q60" s="65" t="str">
        <f>C$9&amp;"_"&amp;F$24&amp;"_"&amp;L38</f>
        <v>その他・金属製建具・金属製熱遮断構造建具等_二層複層ガラス_一般_ガスの封されていない_8 ㎜未満</v>
      </c>
      <c r="R60" s="421">
        <f t="shared" si="1"/>
        <v>4.7</v>
      </c>
      <c r="S60" s="82">
        <f t="shared" si="12"/>
        <v>0</v>
      </c>
      <c r="T60" s="82">
        <f t="shared" si="13"/>
        <v>0</v>
      </c>
      <c r="U60" s="82">
        <f t="shared" si="14"/>
        <v>0.63</v>
      </c>
      <c r="Z60" s="76"/>
      <c r="AA60" s="498"/>
      <c r="AB60" s="499"/>
      <c r="AC60" s="506"/>
      <c r="AD60" s="507"/>
      <c r="AE60" s="510"/>
      <c r="AF60" s="510"/>
      <c r="AG60" s="490" t="s">
        <v>293</v>
      </c>
      <c r="AH60" s="491"/>
      <c r="AI60" s="492"/>
      <c r="AJ60" s="79">
        <v>4.6500000000000004</v>
      </c>
      <c r="AK60" s="493">
        <v>3.92</v>
      </c>
      <c r="AL60" s="494"/>
      <c r="AM60" s="493">
        <v>3.6</v>
      </c>
      <c r="AN60" s="494"/>
      <c r="AO60" s="80">
        <v>3.18</v>
      </c>
      <c r="AP60" s="79"/>
      <c r="AQ60" s="79"/>
      <c r="AR60" s="79">
        <v>0.63</v>
      </c>
      <c r="AT60" s="108"/>
      <c r="AU60" s="109"/>
      <c r="AV60" s="96"/>
      <c r="AW60" s="97"/>
      <c r="AX60" s="118" t="s">
        <v>287</v>
      </c>
      <c r="AY60" s="113" t="s">
        <v>281</v>
      </c>
      <c r="AZ60" s="490" t="s">
        <v>312</v>
      </c>
      <c r="BA60" s="491"/>
      <c r="BB60" s="492"/>
    </row>
    <row r="61" spans="3:54" ht="19.5" customHeight="1">
      <c r="P61" s="60">
        <v>3</v>
      </c>
      <c r="Q61" s="65" t="str">
        <f>C$9&amp;"_"&amp;F$25&amp;"_"&amp;L41</f>
        <v>その他・金属製建具・金属製熱遮断構造建具等_単板ガラス_－</v>
      </c>
      <c r="R61" s="421">
        <f t="shared" si="1"/>
        <v>6.5</v>
      </c>
      <c r="S61" s="82">
        <f t="shared" si="12"/>
        <v>0</v>
      </c>
      <c r="T61" s="82">
        <f t="shared" si="13"/>
        <v>0</v>
      </c>
      <c r="U61" s="82">
        <f t="shared" si="14"/>
        <v>0.7</v>
      </c>
      <c r="Z61" s="76"/>
      <c r="AA61" s="500"/>
      <c r="AB61" s="501"/>
      <c r="AC61" s="511" t="s">
        <v>298</v>
      </c>
      <c r="AD61" s="512"/>
      <c r="AE61" s="81" t="s">
        <v>299</v>
      </c>
      <c r="AF61" s="81" t="s">
        <v>299</v>
      </c>
      <c r="AG61" s="490" t="s">
        <v>299</v>
      </c>
      <c r="AH61" s="491"/>
      <c r="AI61" s="492"/>
      <c r="AJ61" s="79">
        <v>6.51</v>
      </c>
      <c r="AK61" s="493">
        <v>5.23</v>
      </c>
      <c r="AL61" s="494"/>
      <c r="AM61" s="493">
        <v>4.76</v>
      </c>
      <c r="AN61" s="494"/>
      <c r="AO61" s="80">
        <v>3.95</v>
      </c>
      <c r="AP61" s="79"/>
      <c r="AQ61" s="79"/>
      <c r="AR61" s="79">
        <v>0.7</v>
      </c>
      <c r="AT61" s="108"/>
      <c r="AU61" s="109"/>
      <c r="AV61" s="98"/>
      <c r="AW61" s="99"/>
      <c r="AX61" s="117"/>
      <c r="AY61" s="114"/>
      <c r="AZ61" s="490" t="s">
        <v>293</v>
      </c>
      <c r="BA61" s="491"/>
      <c r="BB61" s="492"/>
    </row>
    <row r="62" spans="3:54" ht="19.5" customHeight="1">
      <c r="Z62" s="495" t="s">
        <v>265</v>
      </c>
      <c r="AA62" s="495"/>
      <c r="AB62" s="495"/>
      <c r="AC62" s="495"/>
      <c r="AD62" s="495"/>
      <c r="AE62" s="495"/>
      <c r="AF62" s="495"/>
      <c r="AG62" s="495"/>
      <c r="AH62" s="495"/>
      <c r="AI62" s="495"/>
      <c r="AJ62" s="495"/>
      <c r="AK62" s="495"/>
      <c r="AL62" s="495"/>
      <c r="AM62" s="495"/>
      <c r="AN62" s="495"/>
      <c r="AO62" s="495"/>
      <c r="AP62" s="495"/>
      <c r="AQ62" s="495"/>
      <c r="AT62" s="110"/>
      <c r="AU62" s="111"/>
      <c r="AV62" s="104" t="s">
        <v>298</v>
      </c>
      <c r="AW62" s="105"/>
      <c r="AX62" s="119" t="s">
        <v>299</v>
      </c>
      <c r="AY62" s="81" t="s">
        <v>299</v>
      </c>
      <c r="AZ62" s="490" t="s">
        <v>299</v>
      </c>
      <c r="BA62" s="491"/>
      <c r="BB62" s="492"/>
    </row>
  </sheetData>
  <sheetProtection selectLockedCells="1"/>
  <mergeCells count="309">
    <mergeCell ref="BC28:BE28"/>
    <mergeCell ref="BC30:BE30"/>
    <mergeCell ref="BC31:BE31"/>
    <mergeCell ref="BC32:BE32"/>
    <mergeCell ref="BC21:BE21"/>
    <mergeCell ref="BC10:BE10"/>
    <mergeCell ref="BC26:BE26"/>
    <mergeCell ref="BC29:BE29"/>
    <mergeCell ref="BF24:BH24"/>
    <mergeCell ref="BF25:BH25"/>
    <mergeCell ref="BF27:BH27"/>
    <mergeCell ref="BF28:BH28"/>
    <mergeCell ref="BF30:BH30"/>
    <mergeCell ref="BF31:BH31"/>
    <mergeCell ref="BF32:BH32"/>
    <mergeCell ref="BF29:BH29"/>
    <mergeCell ref="BF26:BH26"/>
    <mergeCell ref="BC17:BE17"/>
    <mergeCell ref="BC18:BE18"/>
    <mergeCell ref="BC19:BE19"/>
    <mergeCell ref="BC20:BE20"/>
    <mergeCell ref="BC22:BE22"/>
    <mergeCell ref="BC23:BE23"/>
    <mergeCell ref="BC24:BE24"/>
    <mergeCell ref="BC25:BE25"/>
    <mergeCell ref="BC27:BE27"/>
    <mergeCell ref="BC7:BE7"/>
    <mergeCell ref="BC8:BE8"/>
    <mergeCell ref="BC9:BE9"/>
    <mergeCell ref="BC11:BE11"/>
    <mergeCell ref="BC12:BE12"/>
    <mergeCell ref="BC13:BE13"/>
    <mergeCell ref="BC14:BE14"/>
    <mergeCell ref="BC15:BE15"/>
    <mergeCell ref="BC16:BE16"/>
    <mergeCell ref="AZ54:BB54"/>
    <mergeCell ref="AZ55:BB55"/>
    <mergeCell ref="AZ56:BB56"/>
    <mergeCell ref="AZ57:BB57"/>
    <mergeCell ref="AZ58:BB58"/>
    <mergeCell ref="AZ59:BB59"/>
    <mergeCell ref="AZ60:BB60"/>
    <mergeCell ref="AZ61:BB61"/>
    <mergeCell ref="AZ62:BB62"/>
    <mergeCell ref="AZ53:BB53"/>
    <mergeCell ref="AZ32:BB32"/>
    <mergeCell ref="AZ33:BB33"/>
    <mergeCell ref="AZ34:BB34"/>
    <mergeCell ref="AZ35:BB35"/>
    <mergeCell ref="AZ36:BB36"/>
    <mergeCell ref="AZ37:BB37"/>
    <mergeCell ref="AZ38:BB38"/>
    <mergeCell ref="AZ39:BB39"/>
    <mergeCell ref="AZ40:BB40"/>
    <mergeCell ref="AZ41:BB41"/>
    <mergeCell ref="AZ42:BB42"/>
    <mergeCell ref="AZ43:BB43"/>
    <mergeCell ref="AZ44:BB44"/>
    <mergeCell ref="AZ45:BB45"/>
    <mergeCell ref="AZ29:BB29"/>
    <mergeCell ref="AZ30:BB30"/>
    <mergeCell ref="AZ46:BB46"/>
    <mergeCell ref="AZ47:BB47"/>
    <mergeCell ref="AZ48:BB48"/>
    <mergeCell ref="AZ49:BB49"/>
    <mergeCell ref="AZ50:BB50"/>
    <mergeCell ref="AZ51:BB51"/>
    <mergeCell ref="AZ52:BB52"/>
    <mergeCell ref="AZ31:BB31"/>
    <mergeCell ref="AY5:BB5"/>
    <mergeCell ref="AZ6:BB6"/>
    <mergeCell ref="AZ7:BB7"/>
    <mergeCell ref="AZ8:BB8"/>
    <mergeCell ref="AZ9:BB9"/>
    <mergeCell ref="AZ10:BB10"/>
    <mergeCell ref="AZ11:BB11"/>
    <mergeCell ref="AZ12:BB12"/>
    <mergeCell ref="AZ13:BB13"/>
    <mergeCell ref="AZ14:BB14"/>
    <mergeCell ref="AZ15:BB15"/>
    <mergeCell ref="AZ16:BB16"/>
    <mergeCell ref="AZ18:BB18"/>
    <mergeCell ref="AZ19:BB19"/>
    <mergeCell ref="AZ20:BB20"/>
    <mergeCell ref="AZ21:BB21"/>
    <mergeCell ref="AZ22:BB22"/>
    <mergeCell ref="AZ23:BB23"/>
    <mergeCell ref="AZ24:BB24"/>
    <mergeCell ref="AZ25:BB25"/>
    <mergeCell ref="AZ26:BB26"/>
    <mergeCell ref="AZ27:BB27"/>
    <mergeCell ref="AZ28:BB28"/>
    <mergeCell ref="AC5:AE6"/>
    <mergeCell ref="AA5:AB6"/>
    <mergeCell ref="AG7:AI7"/>
    <mergeCell ref="AK7:AL7"/>
    <mergeCell ref="AM7:AN7"/>
    <mergeCell ref="AF5:AI5"/>
    <mergeCell ref="AT5:AU6"/>
    <mergeCell ref="AV5:AX6"/>
    <mergeCell ref="AP5:AR5"/>
    <mergeCell ref="AG8:AI8"/>
    <mergeCell ref="AK8:AL8"/>
    <mergeCell ref="AM8:AN8"/>
    <mergeCell ref="AG6:AI6"/>
    <mergeCell ref="AK6:AL6"/>
    <mergeCell ref="AM6:AN6"/>
    <mergeCell ref="AG10:AI10"/>
    <mergeCell ref="AK10:AL10"/>
    <mergeCell ref="AM10:AN10"/>
    <mergeCell ref="AG11:AI11"/>
    <mergeCell ref="AK11:AL11"/>
    <mergeCell ref="AM11:AN11"/>
    <mergeCell ref="AG9:AI9"/>
    <mergeCell ref="AK9:AL9"/>
    <mergeCell ref="AM9:AN9"/>
    <mergeCell ref="AG14:AI14"/>
    <mergeCell ref="AK14:AL14"/>
    <mergeCell ref="AM14:AN14"/>
    <mergeCell ref="AG15:AI15"/>
    <mergeCell ref="AK15:AL15"/>
    <mergeCell ref="AM15:AN15"/>
    <mergeCell ref="AK12:AL12"/>
    <mergeCell ref="AM12:AN12"/>
    <mergeCell ref="AG13:AI13"/>
    <mergeCell ref="AK13:AL13"/>
    <mergeCell ref="AM13:AN13"/>
    <mergeCell ref="AG12:AI12"/>
    <mergeCell ref="AK18:AL18"/>
    <mergeCell ref="AM18:AN18"/>
    <mergeCell ref="AG19:AI19"/>
    <mergeCell ref="AK19:AL19"/>
    <mergeCell ref="AM19:AN19"/>
    <mergeCell ref="AG16:AI16"/>
    <mergeCell ref="AK16:AL16"/>
    <mergeCell ref="AM16:AN16"/>
    <mergeCell ref="AG17:AI17"/>
    <mergeCell ref="AK17:AL17"/>
    <mergeCell ref="AM17:AN17"/>
    <mergeCell ref="AG18:AI18"/>
    <mergeCell ref="AG22:AI22"/>
    <mergeCell ref="AK22:AL22"/>
    <mergeCell ref="AM22:AN22"/>
    <mergeCell ref="AG20:AI20"/>
    <mergeCell ref="AK20:AL20"/>
    <mergeCell ref="AM20:AN20"/>
    <mergeCell ref="AG21:AI21"/>
    <mergeCell ref="AK21:AL21"/>
    <mergeCell ref="AM21:AN21"/>
    <mergeCell ref="AG25:AI25"/>
    <mergeCell ref="AK25:AL25"/>
    <mergeCell ref="AM25:AN25"/>
    <mergeCell ref="AG23:AI23"/>
    <mergeCell ref="AK23:AL23"/>
    <mergeCell ref="AM23:AN23"/>
    <mergeCell ref="AG24:AI24"/>
    <mergeCell ref="AK24:AL24"/>
    <mergeCell ref="AM24:AN24"/>
    <mergeCell ref="AG28:AI28"/>
    <mergeCell ref="AK28:AL28"/>
    <mergeCell ref="AM28:AN28"/>
    <mergeCell ref="AG29:AI29"/>
    <mergeCell ref="AK29:AL29"/>
    <mergeCell ref="AM29:AN29"/>
    <mergeCell ref="AG26:AI26"/>
    <mergeCell ref="AK26:AL26"/>
    <mergeCell ref="AM26:AN26"/>
    <mergeCell ref="AG27:AI27"/>
    <mergeCell ref="AK27:AL27"/>
    <mergeCell ref="AM27:AN27"/>
    <mergeCell ref="AK31:AL31"/>
    <mergeCell ref="AM31:AN31"/>
    <mergeCell ref="AG32:AI32"/>
    <mergeCell ref="AK32:AL32"/>
    <mergeCell ref="AM32:AN32"/>
    <mergeCell ref="AG30:AI30"/>
    <mergeCell ref="AK30:AL30"/>
    <mergeCell ref="AM30:AN30"/>
    <mergeCell ref="AG31:AI31"/>
    <mergeCell ref="AK35:AL35"/>
    <mergeCell ref="AM35:AN35"/>
    <mergeCell ref="AG36:AI36"/>
    <mergeCell ref="AK36:AL36"/>
    <mergeCell ref="AM36:AN36"/>
    <mergeCell ref="AG33:AI33"/>
    <mergeCell ref="AK33:AL33"/>
    <mergeCell ref="AM33:AN33"/>
    <mergeCell ref="AG34:AI34"/>
    <mergeCell ref="AK34:AL34"/>
    <mergeCell ref="AM34:AN34"/>
    <mergeCell ref="AG35:AI35"/>
    <mergeCell ref="AG39:AI39"/>
    <mergeCell ref="AK39:AL39"/>
    <mergeCell ref="AM39:AN39"/>
    <mergeCell ref="AG40:AI40"/>
    <mergeCell ref="AK40:AL40"/>
    <mergeCell ref="AM40:AN40"/>
    <mergeCell ref="AG37:AI37"/>
    <mergeCell ref="AK37:AL37"/>
    <mergeCell ref="AM37:AN37"/>
    <mergeCell ref="AG38:AI38"/>
    <mergeCell ref="AK38:AL38"/>
    <mergeCell ref="AM38:AN38"/>
    <mergeCell ref="AK43:AL43"/>
    <mergeCell ref="AM43:AN43"/>
    <mergeCell ref="AG44:AI44"/>
    <mergeCell ref="AK44:AL44"/>
    <mergeCell ref="AM44:AN44"/>
    <mergeCell ref="AG45:AI45"/>
    <mergeCell ref="AG41:AI41"/>
    <mergeCell ref="AK41:AL41"/>
    <mergeCell ref="AM41:AN41"/>
    <mergeCell ref="AG42:AI42"/>
    <mergeCell ref="AK42:AL42"/>
    <mergeCell ref="AM42:AN42"/>
    <mergeCell ref="AG43:AI43"/>
    <mergeCell ref="AG47:AI47"/>
    <mergeCell ref="AK47:AL47"/>
    <mergeCell ref="AM47:AN47"/>
    <mergeCell ref="AG48:AI48"/>
    <mergeCell ref="AK48:AL48"/>
    <mergeCell ref="AM48:AN48"/>
    <mergeCell ref="AG49:AI49"/>
    <mergeCell ref="AK45:AL45"/>
    <mergeCell ref="AM45:AN45"/>
    <mergeCell ref="AG46:AI46"/>
    <mergeCell ref="AK46:AL46"/>
    <mergeCell ref="AM46:AN46"/>
    <mergeCell ref="AG56:AI56"/>
    <mergeCell ref="AK56:AL56"/>
    <mergeCell ref="AM56:AN56"/>
    <mergeCell ref="AK51:AL51"/>
    <mergeCell ref="AM51:AN51"/>
    <mergeCell ref="AG52:AI52"/>
    <mergeCell ref="AK52:AL52"/>
    <mergeCell ref="AM52:AN52"/>
    <mergeCell ref="AK49:AL49"/>
    <mergeCell ref="AM49:AN49"/>
    <mergeCell ref="AG50:AI50"/>
    <mergeCell ref="AK50:AL50"/>
    <mergeCell ref="AM50:AN50"/>
    <mergeCell ref="AG51:AI51"/>
    <mergeCell ref="AG54:AI54"/>
    <mergeCell ref="AK54:AL54"/>
    <mergeCell ref="AM54:AN54"/>
    <mergeCell ref="AG55:AI55"/>
    <mergeCell ref="AK55:AL55"/>
    <mergeCell ref="AM55:AN55"/>
    <mergeCell ref="AG53:AI53"/>
    <mergeCell ref="AK53:AL53"/>
    <mergeCell ref="AM53:AN53"/>
    <mergeCell ref="AC23:AD30"/>
    <mergeCell ref="AE23:AE28"/>
    <mergeCell ref="AF23:AF25"/>
    <mergeCell ref="AF26:AF28"/>
    <mergeCell ref="AE29:AE30"/>
    <mergeCell ref="AF29:AF30"/>
    <mergeCell ref="AA7:AB31"/>
    <mergeCell ref="AC7:AD22"/>
    <mergeCell ref="AE7:AE14"/>
    <mergeCell ref="AF7:AF10"/>
    <mergeCell ref="AF11:AF14"/>
    <mergeCell ref="AE15:AE20"/>
    <mergeCell ref="AF15:AF16"/>
    <mergeCell ref="AF17:AF20"/>
    <mergeCell ref="AE21:AE22"/>
    <mergeCell ref="AF21:AF22"/>
    <mergeCell ref="AF45:AF46"/>
    <mergeCell ref="AC47:AD52"/>
    <mergeCell ref="AE47:AE50"/>
    <mergeCell ref="AF47:AF48"/>
    <mergeCell ref="AF49:AF50"/>
    <mergeCell ref="AE51:AE52"/>
    <mergeCell ref="AF51:AF52"/>
    <mergeCell ref="AC31:AD31"/>
    <mergeCell ref="AA32:AB53"/>
    <mergeCell ref="AC32:AD46"/>
    <mergeCell ref="AE32:AE38"/>
    <mergeCell ref="AF32:AF34"/>
    <mergeCell ref="AF35:AF38"/>
    <mergeCell ref="AE39:AE44"/>
    <mergeCell ref="AF39:AF41"/>
    <mergeCell ref="AF42:AF44"/>
    <mergeCell ref="AE45:AE46"/>
    <mergeCell ref="AC53:AD53"/>
    <mergeCell ref="AG61:AI61"/>
    <mergeCell ref="AK61:AL61"/>
    <mergeCell ref="AM61:AN61"/>
    <mergeCell ref="Z62:AQ62"/>
    <mergeCell ref="AA54:AB61"/>
    <mergeCell ref="AC54:AD60"/>
    <mergeCell ref="AE54:AE58"/>
    <mergeCell ref="AF54:AF55"/>
    <mergeCell ref="AF56:AF58"/>
    <mergeCell ref="AE59:AE60"/>
    <mergeCell ref="AF59:AF60"/>
    <mergeCell ref="AC61:AD61"/>
    <mergeCell ref="AG59:AI59"/>
    <mergeCell ref="AK59:AL59"/>
    <mergeCell ref="AM59:AN59"/>
    <mergeCell ref="AG60:AI60"/>
    <mergeCell ref="AK60:AL60"/>
    <mergeCell ref="AM60:AN60"/>
    <mergeCell ref="AG57:AI57"/>
    <mergeCell ref="AK57:AL57"/>
    <mergeCell ref="AM57:AN57"/>
    <mergeCell ref="AG58:AI58"/>
    <mergeCell ref="AK58:AL58"/>
    <mergeCell ref="AM58:AN58"/>
  </mergeCells>
  <phoneticPr fontId="12"/>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6B59D-B5E1-4D35-A693-8787C704D92B}">
  <sheetPr codeName="Sheet4">
    <tabColor rgb="FF0066FF"/>
    <pageSetUpPr fitToPage="1"/>
  </sheetPr>
  <dimension ref="A1:BD87"/>
  <sheetViews>
    <sheetView showGridLines="0" view="pageBreakPreview" zoomScale="30" zoomScaleNormal="100" zoomScaleSheetLayoutView="30" workbookViewId="0">
      <pane ySplit="4" topLeftCell="A62" activePane="bottomLeft" state="frozen"/>
      <selection pane="bottomLeft" activeCell="C13" sqref="C13"/>
    </sheetView>
  </sheetViews>
  <sheetFormatPr defaultColWidth="0" defaultRowHeight="13.5"/>
  <cols>
    <col min="1" max="1" width="3.25" style="1" customWidth="1"/>
    <col min="2" max="2" width="23" style="1" customWidth="1"/>
    <col min="3" max="5" width="12.75" style="1" customWidth="1"/>
    <col min="6" max="8" width="12.875" style="1" customWidth="1"/>
    <col min="9" max="10" width="12.75" style="1" customWidth="1"/>
    <col min="11" max="12" width="13.5" style="1" customWidth="1"/>
    <col min="13" max="17" width="12.75" style="1" customWidth="1"/>
    <col min="18" max="19" width="13.5" style="1" customWidth="1"/>
    <col min="20" max="25" width="12.75" style="1" customWidth="1"/>
    <col min="26" max="27" width="12.75" style="1" hidden="1" customWidth="1"/>
    <col min="28" max="16384" width="8.75" style="1" hidden="1"/>
  </cols>
  <sheetData>
    <row r="1" spans="2:53" ht="23.25" customHeight="1" thickBot="1">
      <c r="B1" s="469" t="s">
        <v>4000</v>
      </c>
      <c r="C1" s="469"/>
      <c r="D1" s="469"/>
      <c r="E1" s="469"/>
      <c r="F1" s="469"/>
      <c r="G1" s="469"/>
      <c r="H1" s="471" t="s">
        <v>0</v>
      </c>
      <c r="I1" s="474" t="str">
        <f>IF('A 最初に入力してください　基本情報'!C21="","",'A 最初に入力してください　基本情報'!C21)</f>
        <v/>
      </c>
      <c r="K1" s="475" t="str">
        <f>IF(OR('A 最初に入力してください　基本情報'!C16="",'A 最初に入力してください　基本情報'!C19=""),"",IF(OR(I1=5,I1=6,I1=7),"","←入力するシートが違います!!"))</f>
        <v/>
      </c>
      <c r="L1" s="475"/>
      <c r="M1" s="475"/>
      <c r="N1" s="476"/>
      <c r="O1" s="477" t="s">
        <v>3914</v>
      </c>
      <c r="P1" s="478"/>
      <c r="Q1" s="189"/>
      <c r="R1" s="182"/>
      <c r="Y1" s="75"/>
      <c r="Z1" s="75" t="s">
        <v>261</v>
      </c>
      <c r="AA1" s="75" t="s">
        <v>261</v>
      </c>
      <c r="AB1" s="75" t="s">
        <v>261</v>
      </c>
      <c r="AC1" s="75" t="s">
        <v>261</v>
      </c>
      <c r="AD1" s="75" t="s">
        <v>261</v>
      </c>
      <c r="AE1" s="75" t="s">
        <v>3931</v>
      </c>
      <c r="AF1" s="75" t="s">
        <v>3931</v>
      </c>
      <c r="AG1" s="75" t="s">
        <v>3931</v>
      </c>
      <c r="AH1" s="75" t="s">
        <v>3931</v>
      </c>
      <c r="AI1" s="75" t="s">
        <v>3931</v>
      </c>
      <c r="AJ1" s="75" t="s">
        <v>3931</v>
      </c>
      <c r="AK1" s="75" t="s">
        <v>3931</v>
      </c>
      <c r="AL1" s="75" t="s">
        <v>261</v>
      </c>
      <c r="AM1" s="75" t="s">
        <v>261</v>
      </c>
      <c r="AN1" s="75" t="s">
        <v>261</v>
      </c>
      <c r="AO1" s="75" t="s">
        <v>261</v>
      </c>
      <c r="AP1" s="75" t="s">
        <v>261</v>
      </c>
      <c r="AQ1" s="75" t="s">
        <v>261</v>
      </c>
      <c r="AR1" s="75" t="s">
        <v>261</v>
      </c>
      <c r="AS1" s="75" t="s">
        <v>261</v>
      </c>
      <c r="AT1" s="75" t="s">
        <v>261</v>
      </c>
      <c r="AU1" s="75" t="s">
        <v>261</v>
      </c>
      <c r="AV1" s="75" t="s">
        <v>261</v>
      </c>
      <c r="AW1" s="75" t="s">
        <v>261</v>
      </c>
      <c r="AX1" s="75" t="s">
        <v>261</v>
      </c>
      <c r="AY1" s="75" t="s">
        <v>261</v>
      </c>
      <c r="AZ1" s="75" t="s">
        <v>261</v>
      </c>
      <c r="BA1" s="75" t="s">
        <v>261</v>
      </c>
    </row>
    <row r="2" spans="2:53" ht="18.75" customHeight="1" thickTop="1" thickBot="1">
      <c r="B2" s="469"/>
      <c r="C2" s="469"/>
      <c r="D2" s="469"/>
      <c r="E2" s="469"/>
      <c r="F2" s="469"/>
      <c r="G2" s="469"/>
      <c r="H2" s="471"/>
      <c r="I2" s="474"/>
      <c r="J2" s="479" t="s">
        <v>1</v>
      </c>
      <c r="K2" s="475"/>
      <c r="L2" s="475"/>
      <c r="M2" s="475"/>
      <c r="N2" s="476"/>
      <c r="O2" s="481" t="str">
        <f>IF(OR(I1=5,I1=6,I1=7),IF((SUM(AP13:AP19)+SUM(AP29:AP31)+AP43+AP47)&gt;0,"不適","適合"),"")</f>
        <v/>
      </c>
      <c r="P2" s="482"/>
      <c r="Q2" s="189"/>
      <c r="R2" s="182"/>
      <c r="X2" s="214"/>
    </row>
    <row r="3" spans="2:53" ht="15.75" customHeight="1" thickTop="1" thickBot="1">
      <c r="B3" s="469"/>
      <c r="C3" s="469"/>
      <c r="D3" s="469"/>
      <c r="E3" s="469"/>
      <c r="F3" s="469"/>
      <c r="G3" s="469"/>
      <c r="H3" s="471"/>
      <c r="I3" s="474"/>
      <c r="J3" s="480"/>
      <c r="K3" s="475"/>
      <c r="L3" s="475"/>
      <c r="M3" s="475"/>
      <c r="N3" s="476"/>
      <c r="O3" s="483"/>
      <c r="P3" s="484"/>
      <c r="Q3" s="182"/>
      <c r="R3" s="182"/>
    </row>
    <row r="4" spans="2:53" ht="6" customHeight="1" thickTop="1">
      <c r="J4" s="151"/>
      <c r="K4" s="153"/>
      <c r="L4" s="30"/>
      <c r="M4" s="182"/>
      <c r="N4" s="182"/>
      <c r="O4" s="182"/>
      <c r="P4" s="182"/>
      <c r="Q4" s="182"/>
      <c r="R4" s="182"/>
      <c r="S4" s="190"/>
      <c r="T4" s="190"/>
    </row>
    <row r="5" spans="2:53" ht="24" customHeight="1">
      <c r="B5" s="152"/>
      <c r="C5" s="152"/>
      <c r="D5" s="152"/>
      <c r="E5" s="152"/>
      <c r="F5" s="152"/>
      <c r="G5" s="152"/>
      <c r="H5" s="152"/>
      <c r="J5" s="151"/>
      <c r="K5" s="153"/>
      <c r="L5" s="30"/>
      <c r="M5" s="150"/>
      <c r="N5" s="150"/>
      <c r="O5" s="150"/>
      <c r="P5" s="150"/>
      <c r="Q5" s="150"/>
      <c r="R5" s="150"/>
    </row>
    <row r="6" spans="2:53" ht="24" customHeight="1">
      <c r="B6" s="152"/>
      <c r="C6" s="152"/>
      <c r="D6" s="152"/>
      <c r="E6" s="152"/>
      <c r="F6" s="152"/>
      <c r="G6" s="152"/>
      <c r="H6" s="152"/>
      <c r="J6" s="151"/>
      <c r="K6" s="153"/>
      <c r="L6" s="30"/>
      <c r="M6" s="150"/>
      <c r="N6" s="150"/>
      <c r="O6" s="150"/>
      <c r="P6" s="150"/>
      <c r="Q6" s="150"/>
      <c r="R6" s="150"/>
    </row>
    <row r="7" spans="2:53" ht="279" customHeight="1"/>
    <row r="8" spans="2:53" ht="21" customHeight="1">
      <c r="C8" s="225"/>
      <c r="D8" s="225"/>
      <c r="E8" s="225"/>
      <c r="F8" s="464"/>
      <c r="G8" s="464"/>
      <c r="H8" s="226" t="s">
        <v>3975</v>
      </c>
      <c r="I8" s="228"/>
      <c r="J8" s="226" t="s">
        <v>3975</v>
      </c>
      <c r="K8" s="228"/>
      <c r="N8" s="350"/>
      <c r="O8" s="350"/>
      <c r="P8" s="226" t="s">
        <v>3975</v>
      </c>
      <c r="Q8" s="226" t="s">
        <v>3975</v>
      </c>
      <c r="R8" s="226" t="s">
        <v>3975</v>
      </c>
      <c r="X8" s="8"/>
      <c r="AD8" s="8"/>
    </row>
    <row r="9" spans="2:53" ht="18" customHeight="1">
      <c r="B9" s="147"/>
      <c r="C9" s="59" t="s">
        <v>480</v>
      </c>
      <c r="D9" s="59" t="s">
        <v>481</v>
      </c>
      <c r="E9" s="59" t="s">
        <v>482</v>
      </c>
      <c r="F9" s="470" t="s">
        <v>483</v>
      </c>
      <c r="G9" s="470"/>
      <c r="H9" s="59" t="s">
        <v>484</v>
      </c>
      <c r="I9" s="59" t="s">
        <v>485</v>
      </c>
      <c r="J9" s="59" t="s">
        <v>486</v>
      </c>
      <c r="K9" s="59" t="s">
        <v>487</v>
      </c>
      <c r="L9" s="470" t="s">
        <v>488</v>
      </c>
      <c r="M9" s="470"/>
      <c r="N9" s="470"/>
      <c r="O9" s="461"/>
      <c r="P9" s="461" t="s">
        <v>4165</v>
      </c>
      <c r="Q9" s="463"/>
      <c r="R9" s="400"/>
      <c r="X9" s="8"/>
      <c r="AD9" s="8"/>
      <c r="AS9" s="196" t="s">
        <v>4048</v>
      </c>
    </row>
    <row r="10" spans="2:53" s="8" customFormat="1" ht="14.25">
      <c r="B10" s="463" t="s">
        <v>2</v>
      </c>
      <c r="C10" s="58" t="s">
        <v>33</v>
      </c>
      <c r="D10" s="59" t="s">
        <v>227</v>
      </c>
      <c r="E10" s="470" t="s">
        <v>20</v>
      </c>
      <c r="F10" s="461" t="s">
        <v>35</v>
      </c>
      <c r="G10" s="463"/>
      <c r="H10" s="470" t="s">
        <v>32</v>
      </c>
      <c r="I10" s="470" t="s">
        <v>3</v>
      </c>
      <c r="J10" s="59" t="s">
        <v>3906</v>
      </c>
      <c r="K10" s="59" t="s">
        <v>231</v>
      </c>
      <c r="L10" s="461" t="s">
        <v>232</v>
      </c>
      <c r="M10" s="462"/>
      <c r="N10" s="462"/>
      <c r="O10" s="462"/>
      <c r="P10" s="461"/>
      <c r="Q10" s="463"/>
      <c r="R10" s="473" t="s">
        <v>4</v>
      </c>
      <c r="V10" s="1"/>
      <c r="W10" s="1"/>
      <c r="Y10" s="1"/>
      <c r="Z10" s="1"/>
      <c r="AA10" s="1"/>
      <c r="AB10" s="1"/>
      <c r="AC10" s="1"/>
      <c r="AS10" s="75">
        <v>1</v>
      </c>
      <c r="AT10" s="75">
        <v>2</v>
      </c>
      <c r="AU10" s="75">
        <v>3</v>
      </c>
      <c r="AV10" s="75">
        <v>4</v>
      </c>
      <c r="AW10" s="75">
        <v>5</v>
      </c>
      <c r="AX10" s="75">
        <v>6</v>
      </c>
    </row>
    <row r="11" spans="2:53" s="8" customFormat="1" ht="15.75">
      <c r="B11" s="463"/>
      <c r="C11" s="58" t="s">
        <v>3923</v>
      </c>
      <c r="D11" s="58" t="s">
        <v>225</v>
      </c>
      <c r="E11" s="470"/>
      <c r="F11" s="461"/>
      <c r="G11" s="463"/>
      <c r="H11" s="470"/>
      <c r="I11" s="470"/>
      <c r="J11" s="59" t="s">
        <v>3976</v>
      </c>
      <c r="K11" s="59" t="s">
        <v>3905</v>
      </c>
      <c r="L11" s="461" t="s">
        <v>3938</v>
      </c>
      <c r="M11" s="462"/>
      <c r="N11" s="462"/>
      <c r="O11" s="462"/>
      <c r="P11" s="401" t="s">
        <v>4166</v>
      </c>
      <c r="Q11" s="401" t="s">
        <v>497</v>
      </c>
      <c r="R11" s="473"/>
      <c r="V11" s="1"/>
      <c r="W11" s="1"/>
      <c r="Y11" s="1"/>
      <c r="Z11" s="1"/>
      <c r="AA11" s="1"/>
      <c r="AB11" s="1"/>
      <c r="AC11" s="196" t="s">
        <v>3955</v>
      </c>
      <c r="AD11" s="1"/>
      <c r="AF11" s="196" t="s">
        <v>3949</v>
      </c>
      <c r="AG11" s="74" t="s">
        <v>3950</v>
      </c>
      <c r="AJ11" s="1"/>
      <c r="AL11" s="196" t="s">
        <v>4</v>
      </c>
      <c r="AM11" s="196"/>
      <c r="AQ11" s="196"/>
    </row>
    <row r="12" spans="2:53" s="8" customFormat="1" ht="19.899999999999999" customHeight="1">
      <c r="B12" s="409"/>
      <c r="C12" s="409"/>
      <c r="D12" s="409"/>
      <c r="E12" s="409"/>
      <c r="F12" s="171"/>
      <c r="G12" s="23"/>
      <c r="H12" s="410" t="s">
        <v>262</v>
      </c>
      <c r="I12" s="180" t="s">
        <v>515</v>
      </c>
      <c r="J12" s="180" t="s">
        <v>226</v>
      </c>
      <c r="K12" s="180" t="s">
        <v>226</v>
      </c>
      <c r="L12" s="485" t="s">
        <v>374</v>
      </c>
      <c r="M12" s="486"/>
      <c r="N12" s="486"/>
      <c r="O12" s="486"/>
      <c r="P12" s="180" t="s">
        <v>226</v>
      </c>
      <c r="Q12" s="180" t="s">
        <v>226</v>
      </c>
      <c r="R12" s="402"/>
      <c r="V12" s="1"/>
      <c r="W12" s="1"/>
      <c r="Y12" s="1"/>
      <c r="Z12" s="1"/>
      <c r="AA12" s="1"/>
      <c r="AB12" s="1"/>
      <c r="AC12" s="196" t="s">
        <v>4168</v>
      </c>
      <c r="AD12" s="1"/>
      <c r="AF12" s="196" t="s">
        <v>3932</v>
      </c>
      <c r="AG12" s="196" t="s">
        <v>3939</v>
      </c>
      <c r="AH12" s="196" t="s">
        <v>3940</v>
      </c>
      <c r="AI12" s="196" t="s">
        <v>3947</v>
      </c>
      <c r="AJ12" s="196" t="s">
        <v>3948</v>
      </c>
      <c r="AL12" s="196" t="s">
        <v>3955</v>
      </c>
      <c r="AM12" s="196" t="s">
        <v>3956</v>
      </c>
      <c r="AP12" s="196" t="s">
        <v>3914</v>
      </c>
      <c r="AQ12" s="196"/>
      <c r="AS12" s="74" t="s">
        <v>20</v>
      </c>
      <c r="AT12" s="74" t="s">
        <v>35</v>
      </c>
      <c r="AU12" s="74" t="s">
        <v>4025</v>
      </c>
      <c r="AV12" s="74" t="s">
        <v>4026</v>
      </c>
      <c r="AW12" s="74" t="s">
        <v>4027</v>
      </c>
      <c r="AX12" s="74" t="s">
        <v>232</v>
      </c>
    </row>
    <row r="13" spans="2:53" ht="45" customHeight="1">
      <c r="B13" s="403" t="s">
        <v>5</v>
      </c>
      <c r="C13" s="404"/>
      <c r="D13" s="405"/>
      <c r="E13" s="405"/>
      <c r="F13" s="449"/>
      <c r="G13" s="450"/>
      <c r="H13" s="406" t="str">
        <f>IF(F13="","",VLOOKUP(F13,断熱材_非表示!$G$6:$H$87,2,FALSE))</f>
        <v/>
      </c>
      <c r="I13" s="218"/>
      <c r="J13" s="407" t="str">
        <f>IF(OR(F13="",I13=""),"",ROUNDDOWN((I13/1000/H13),1))</f>
        <v/>
      </c>
      <c r="K13" s="404"/>
      <c r="L13" s="472"/>
      <c r="M13" s="441"/>
      <c r="N13" s="441"/>
      <c r="O13" s="441"/>
      <c r="P13" s="407" t="str">
        <f>IF(D13="","",IF(D13="直接入力",AC13,J13))</f>
        <v/>
      </c>
      <c r="Q13" s="408" t="str">
        <f t="shared" ref="Q13:Q19" si="0">IFERROR(IF(D13="直接入力",IF(K13="","",AI13&amp;" "&amp;FIXED(AJ13,1)),IF(J13="","",AI13&amp;" "&amp;FIXED(AJ13,1))),"エラー")</f>
        <v/>
      </c>
      <c r="R13" s="318" t="str">
        <f t="shared" ref="R13:R19" si="1">IF(C13="該当部位なし","該当部位なし",IF(D13="","",IF(OR($I$1=1,$I$1=2,$I$1=3,$I$1=4,$I$1=8),"地域に対し入力するシートが違います",IF(D13="直接入力",AL13,IF(D13="断熱材の種類から入力",AM13,"")))))</f>
        <v/>
      </c>
      <c r="AC13" s="211" t="str">
        <f>IF(K13="","",ROUNDDOWN(K13,1))</f>
        <v/>
      </c>
      <c r="AE13" s="196">
        <v>2</v>
      </c>
      <c r="AF13" s="211" t="e">
        <f>VLOOKUP($I$1,'仕様基準-省エネ基準_非表示'!$B$10:$J$12,$AE13,FALSE)</f>
        <v>#N/A</v>
      </c>
      <c r="AG13" s="211" t="e">
        <f>VLOOKUP($I$1,'仕様基準-省エネ基準_非表示'!$B$22:$J$24,$AE13,FALSE)</f>
        <v>#N/A</v>
      </c>
      <c r="AH13" s="211" t="e">
        <f>VLOOKUP($I$1,'仕様基準-省エネ基準_非表示'!$B$34:$J$36,$AE13,FALSE)</f>
        <v>#N/A</v>
      </c>
      <c r="AI13" s="211" t="s">
        <v>3952</v>
      </c>
      <c r="AJ13" s="211" t="str">
        <f>IF(E13=$AF$12,AF13,IF(E13=$AG$12,AG13,IF(E13=$AH$12,AH13,"未入力")))</f>
        <v>未入力</v>
      </c>
      <c r="AL13" s="75" t="str">
        <f>IF(K13="","",IF(K13&gt;=AJ13,"適合","不適"))</f>
        <v/>
      </c>
      <c r="AM13" s="75" t="str">
        <f>IF(J13="","",IF(J13&gt;=AJ13,"適合","不適"))</f>
        <v/>
      </c>
      <c r="AP13" s="422">
        <f>IF(C13="断熱部位",IF(R13="適合",0,1),0)</f>
        <v>0</v>
      </c>
      <c r="AQ13" s="213"/>
      <c r="AS13" s="371" t="str">
        <f>IF(C13="該当部位なし","－",IF(E13="","",E13))</f>
        <v/>
      </c>
      <c r="AT13" s="371" t="str">
        <f>IF(C13="該当部位なし","－",IF(D13="直接入力","－",IF(F13="","",F13)))</f>
        <v/>
      </c>
      <c r="AU13" s="371" t="str">
        <f>IF(C13="該当部位なし","－",IF(D13="直接入力","－",IF(I13="","",I13)))</f>
        <v/>
      </c>
      <c r="AV13" s="372" t="str">
        <f>IF(C13="該当部位なし","－",IF(OR(P13="",P13=0),"",P13))</f>
        <v/>
      </c>
      <c r="AW13" s="372" t="str">
        <f>IF(C13="該当部位なし","－",IF(AJ13="未入力","",AJ13))</f>
        <v/>
      </c>
      <c r="AX13" s="371" t="str">
        <f>IF(C13="","",IF(C13="該当部位なし","該当部位なし",IF(L13="","－",L13)))</f>
        <v/>
      </c>
    </row>
    <row r="14" spans="2:53" ht="45" customHeight="1">
      <c r="B14" s="192" t="s">
        <v>6</v>
      </c>
      <c r="C14" s="215"/>
      <c r="D14" s="216"/>
      <c r="E14" s="216"/>
      <c r="F14" s="451"/>
      <c r="G14" s="466"/>
      <c r="H14" s="314" t="str">
        <f>IF(F14="","",VLOOKUP(F14,断熱材_非表示!$G$6:$H$87,2,FALSE))</f>
        <v/>
      </c>
      <c r="I14" s="217"/>
      <c r="J14" s="188" t="str">
        <f t="shared" ref="J14:J19" si="2">IF(OR(F14="",I14=""),"",ROUNDDOWN((I14/1000/H14),1))</f>
        <v/>
      </c>
      <c r="K14" s="215"/>
      <c r="L14" s="451"/>
      <c r="M14" s="452"/>
      <c r="N14" s="452"/>
      <c r="O14" s="452"/>
      <c r="P14" s="188" t="str">
        <f t="shared" ref="P14:P19" si="3">IF(D14="","",IF(D14="直接入力",AC14,J14))</f>
        <v/>
      </c>
      <c r="Q14" s="319" t="str">
        <f t="shared" si="0"/>
        <v/>
      </c>
      <c r="R14" s="318" t="str">
        <f t="shared" si="1"/>
        <v/>
      </c>
      <c r="AC14" s="211" t="str">
        <f t="shared" ref="AC14:AC19" si="4">IF(K14="","",ROUNDDOWN(K14,1))</f>
        <v/>
      </c>
      <c r="AE14" s="196">
        <v>3</v>
      </c>
      <c r="AF14" s="211" t="e">
        <f>VLOOKUP($I$1,'仕様基準-省エネ基準_非表示'!$B$10:$J$12,$AE14,FALSE)</f>
        <v>#N/A</v>
      </c>
      <c r="AG14" s="211" t="e">
        <f>VLOOKUP($I$1,'仕様基準-省エネ基準_非表示'!$B$22:$J$24,$AE14,FALSE)</f>
        <v>#N/A</v>
      </c>
      <c r="AH14" s="211" t="e">
        <f>VLOOKUP($I$1,'仕様基準-省エネ基準_非表示'!$B$34:$J$36,$AE14,FALSE)</f>
        <v>#N/A</v>
      </c>
      <c r="AI14" s="211" t="s">
        <v>3952</v>
      </c>
      <c r="AJ14" s="211" t="str">
        <f t="shared" ref="AJ14:AJ17" si="5">IF(E14=$AF$12,AF14,IF(E14=$AG$12,AG14,IF(E14=$AH$12,AH14,"未入力")))</f>
        <v>未入力</v>
      </c>
      <c r="AL14" s="75" t="str">
        <f t="shared" ref="AL14:AL19" si="6">IF(K14="","",IF(K14&gt;=AJ14,"適合","不適"))</f>
        <v/>
      </c>
      <c r="AM14" s="75" t="str">
        <f t="shared" ref="AM14:AM19" si="7">IF(J14="","",IF(J14&gt;=AJ14,"適合","不適"))</f>
        <v/>
      </c>
      <c r="AP14" s="422">
        <f>IF(C14="断熱部位",IF(R14="適合",0,1),0)</f>
        <v>0</v>
      </c>
      <c r="AQ14" s="213"/>
      <c r="AS14" s="371" t="str">
        <f t="shared" ref="AS14:AS19" si="8">IF(C14="該当部位なし","－",IF(E14="","",E14))</f>
        <v/>
      </c>
      <c r="AT14" s="371" t="str">
        <f t="shared" ref="AT14:AT19" si="9">IF(C14="該当部位なし","－",IF(D14="直接入力","－",IF(F14="","",F14)))</f>
        <v/>
      </c>
      <c r="AU14" s="371" t="str">
        <f t="shared" ref="AU14:AU19" si="10">IF(C14="該当部位なし","－",IF(D14="直接入力","－",IF(I14="","",I14)))</f>
        <v/>
      </c>
      <c r="AV14" s="372" t="str">
        <f t="shared" ref="AV14:AV19" si="11">IF(C14="該当部位なし","－",IF(OR(P14="",P14=0),"",P14))</f>
        <v/>
      </c>
      <c r="AW14" s="372" t="str">
        <f t="shared" ref="AW14:AW17" si="12">IF(C14="該当部位なし","－",IF(AJ14="未入力","",AJ14))</f>
        <v/>
      </c>
      <c r="AX14" s="371" t="str">
        <f>IF(C14="","",IF(C14="該当部位なし","該当部位なし",IF(L14="","－",L14)))</f>
        <v/>
      </c>
    </row>
    <row r="15" spans="2:53" ht="45" customHeight="1">
      <c r="B15" s="192" t="s">
        <v>7</v>
      </c>
      <c r="C15" s="24"/>
      <c r="D15" s="216"/>
      <c r="E15" s="216"/>
      <c r="F15" s="451"/>
      <c r="G15" s="466"/>
      <c r="H15" s="314" t="str">
        <f>IF(F15="","",VLOOKUP(F15,断熱材_非表示!$G$6:$H$87,2,FALSE))</f>
        <v/>
      </c>
      <c r="I15" s="217"/>
      <c r="J15" s="188" t="str">
        <f t="shared" si="2"/>
        <v/>
      </c>
      <c r="K15" s="215"/>
      <c r="L15" s="451"/>
      <c r="M15" s="452"/>
      <c r="N15" s="452"/>
      <c r="O15" s="452"/>
      <c r="P15" s="188" t="str">
        <f t="shared" si="3"/>
        <v/>
      </c>
      <c r="Q15" s="319" t="str">
        <f t="shared" si="0"/>
        <v/>
      </c>
      <c r="R15" s="318" t="str">
        <f t="shared" si="1"/>
        <v/>
      </c>
      <c r="AC15" s="211" t="str">
        <f t="shared" si="4"/>
        <v/>
      </c>
      <c r="AE15" s="196">
        <v>4</v>
      </c>
      <c r="AF15" s="211" t="e">
        <f>VLOOKUP($I$1,'仕様基準-省エネ基準_非表示'!$B$10:$J$12,$AE15,FALSE)</f>
        <v>#N/A</v>
      </c>
      <c r="AG15" s="211" t="e">
        <f>VLOOKUP($I$1,'仕様基準-省エネ基準_非表示'!$B$22:$J$24,$AE15,FALSE)</f>
        <v>#N/A</v>
      </c>
      <c r="AH15" s="211" t="e">
        <f>VLOOKUP($I$1,'仕様基準-省エネ基準_非表示'!$B$34:$J$36,$AE15,FALSE)</f>
        <v>#N/A</v>
      </c>
      <c r="AI15" s="211" t="s">
        <v>3952</v>
      </c>
      <c r="AJ15" s="211" t="str">
        <f t="shared" si="5"/>
        <v>未入力</v>
      </c>
      <c r="AL15" s="75" t="str">
        <f t="shared" si="6"/>
        <v/>
      </c>
      <c r="AM15" s="75" t="str">
        <f t="shared" si="7"/>
        <v/>
      </c>
      <c r="AP15" s="422">
        <f>IF(R15="適合",0,1)</f>
        <v>1</v>
      </c>
      <c r="AQ15" s="213"/>
      <c r="AS15" s="371" t="str">
        <f t="shared" si="8"/>
        <v/>
      </c>
      <c r="AT15" s="371" t="str">
        <f t="shared" si="9"/>
        <v/>
      </c>
      <c r="AU15" s="371" t="str">
        <f t="shared" si="10"/>
        <v/>
      </c>
      <c r="AV15" s="372" t="str">
        <f t="shared" si="11"/>
        <v/>
      </c>
      <c r="AW15" s="372" t="str">
        <f t="shared" si="12"/>
        <v/>
      </c>
      <c r="AX15" s="371" t="str">
        <f>IF(D15="","",IF(L15="","－",L15))</f>
        <v/>
      </c>
    </row>
    <row r="16" spans="2:53" ht="45" customHeight="1">
      <c r="B16" s="12" t="s">
        <v>4260</v>
      </c>
      <c r="C16" s="215"/>
      <c r="D16" s="216"/>
      <c r="E16" s="216"/>
      <c r="F16" s="451"/>
      <c r="G16" s="466"/>
      <c r="H16" s="314" t="str">
        <f>IF(F16="","",VLOOKUP(F16,断熱材_非表示!$G$6:$H$87,2,FALSE))</f>
        <v/>
      </c>
      <c r="I16" s="217"/>
      <c r="J16" s="188" t="str">
        <f t="shared" si="2"/>
        <v/>
      </c>
      <c r="K16" s="215"/>
      <c r="L16" s="451"/>
      <c r="M16" s="452"/>
      <c r="N16" s="452"/>
      <c r="O16" s="452"/>
      <c r="P16" s="188" t="str">
        <f t="shared" si="3"/>
        <v/>
      </c>
      <c r="Q16" s="319" t="str">
        <f t="shared" si="0"/>
        <v/>
      </c>
      <c r="R16" s="318" t="str">
        <f t="shared" si="1"/>
        <v/>
      </c>
      <c r="AC16" s="211" t="str">
        <f t="shared" si="4"/>
        <v/>
      </c>
      <c r="AE16" s="196">
        <v>5</v>
      </c>
      <c r="AF16" s="211" t="e">
        <f>VLOOKUP($I$1,'仕様基準-省エネ基準_非表示'!$B$10:$J$12,$AE16,FALSE)</f>
        <v>#N/A</v>
      </c>
      <c r="AG16" s="211" t="e">
        <f>VLOOKUP($I$1,'仕様基準-省エネ基準_非表示'!$B$22:$J$24,$AE16,FALSE)</f>
        <v>#N/A</v>
      </c>
      <c r="AH16" s="211" t="e">
        <f>VLOOKUP($I$1,'仕様基準-省エネ基準_非表示'!$B$34:$J$36,$AE16,FALSE)</f>
        <v>#N/A</v>
      </c>
      <c r="AI16" s="211" t="s">
        <v>3952</v>
      </c>
      <c r="AJ16" s="211" t="str">
        <f t="shared" si="5"/>
        <v>未入力</v>
      </c>
      <c r="AL16" s="75" t="str">
        <f t="shared" si="6"/>
        <v/>
      </c>
      <c r="AM16" s="75" t="str">
        <f t="shared" si="7"/>
        <v/>
      </c>
      <c r="AP16" s="422">
        <f>IF(C16="断熱部位",IF(R16="適合",0,1),0)</f>
        <v>0</v>
      </c>
      <c r="AQ16" s="213"/>
      <c r="AS16" s="371" t="str">
        <f t="shared" si="8"/>
        <v/>
      </c>
      <c r="AT16" s="371" t="str">
        <f t="shared" si="9"/>
        <v/>
      </c>
      <c r="AU16" s="371" t="str">
        <f t="shared" si="10"/>
        <v/>
      </c>
      <c r="AV16" s="372" t="str">
        <f t="shared" si="11"/>
        <v/>
      </c>
      <c r="AW16" s="372" t="str">
        <f t="shared" si="12"/>
        <v/>
      </c>
      <c r="AX16" s="371" t="str">
        <f>IF(C16="","",IF(C16="該当部位なし","該当部位なし",IF(L16="","－",L16)))</f>
        <v/>
      </c>
    </row>
    <row r="17" spans="2:53" ht="45" customHeight="1">
      <c r="B17" s="12" t="s">
        <v>4285</v>
      </c>
      <c r="C17" s="215"/>
      <c r="D17" s="216"/>
      <c r="E17" s="216"/>
      <c r="F17" s="451"/>
      <c r="G17" s="466"/>
      <c r="H17" s="314" t="str">
        <f>IF(F17="","",VLOOKUP(F17,断熱材_非表示!$G$6:$H$87,2,FALSE))</f>
        <v/>
      </c>
      <c r="I17" s="217"/>
      <c r="J17" s="188" t="str">
        <f t="shared" si="2"/>
        <v/>
      </c>
      <c r="K17" s="215"/>
      <c r="L17" s="451"/>
      <c r="M17" s="452"/>
      <c r="N17" s="452"/>
      <c r="O17" s="452"/>
      <c r="P17" s="188" t="str">
        <f t="shared" si="3"/>
        <v/>
      </c>
      <c r="Q17" s="319" t="str">
        <f t="shared" si="0"/>
        <v/>
      </c>
      <c r="R17" s="318" t="str">
        <f t="shared" si="1"/>
        <v/>
      </c>
      <c r="AC17" s="211" t="str">
        <f t="shared" si="4"/>
        <v/>
      </c>
      <c r="AE17" s="196">
        <v>6</v>
      </c>
      <c r="AF17" s="211" t="e">
        <f>VLOOKUP($I$1,'仕様基準-省エネ基準_非表示'!$B$10:$J$12,$AE17,FALSE)</f>
        <v>#N/A</v>
      </c>
      <c r="AG17" s="211" t="e">
        <f>VLOOKUP($I$1,'仕様基準-省エネ基準_非表示'!$B$22:$J$24,$AE17,FALSE)</f>
        <v>#N/A</v>
      </c>
      <c r="AH17" s="211" t="e">
        <f>VLOOKUP($I$1,'仕様基準-省エネ基準_非表示'!$B$34:$J$36,$AE17,FALSE)</f>
        <v>#N/A</v>
      </c>
      <c r="AI17" s="211" t="s">
        <v>3952</v>
      </c>
      <c r="AJ17" s="211" t="str">
        <f t="shared" si="5"/>
        <v>未入力</v>
      </c>
      <c r="AL17" s="75" t="str">
        <f t="shared" si="6"/>
        <v/>
      </c>
      <c r="AM17" s="75" t="str">
        <f t="shared" si="7"/>
        <v/>
      </c>
      <c r="AP17" s="422">
        <f>IF(C17="断熱部位",IF(R17="適合",0,1),0)</f>
        <v>0</v>
      </c>
      <c r="AQ17" s="213"/>
      <c r="AS17" s="371" t="str">
        <f t="shared" si="8"/>
        <v/>
      </c>
      <c r="AT17" s="371" t="str">
        <f t="shared" si="9"/>
        <v/>
      </c>
      <c r="AU17" s="371" t="str">
        <f t="shared" si="10"/>
        <v/>
      </c>
      <c r="AV17" s="372" t="str">
        <f t="shared" si="11"/>
        <v/>
      </c>
      <c r="AW17" s="372" t="str">
        <f t="shared" si="12"/>
        <v/>
      </c>
      <c r="AX17" s="371" t="str">
        <f>IF(C17="","",IF(C17="該当部位なし","該当部位なし",IF(L17="","－",L17)))</f>
        <v/>
      </c>
    </row>
    <row r="18" spans="2:53" ht="45.75">
      <c r="B18" s="399" t="s">
        <v>4286</v>
      </c>
      <c r="C18" s="215"/>
      <c r="D18" s="216"/>
      <c r="E18" s="21" t="str">
        <f>IF(C18="断熱部位","内断熱、外断熱または両側断熱","")</f>
        <v/>
      </c>
      <c r="F18" s="451"/>
      <c r="G18" s="466"/>
      <c r="H18" s="314" t="str">
        <f>IF(F18="","",VLOOKUP(F18,断熱材_非表示!$G$6:$H$87,2,FALSE))</f>
        <v/>
      </c>
      <c r="I18" s="217"/>
      <c r="J18" s="188" t="str">
        <f t="shared" si="2"/>
        <v/>
      </c>
      <c r="K18" s="215"/>
      <c r="L18" s="451"/>
      <c r="M18" s="452"/>
      <c r="N18" s="452"/>
      <c r="O18" s="452"/>
      <c r="P18" s="188" t="str">
        <f t="shared" si="3"/>
        <v/>
      </c>
      <c r="Q18" s="319" t="str">
        <f t="shared" si="0"/>
        <v/>
      </c>
      <c r="R18" s="318" t="str">
        <f t="shared" si="1"/>
        <v/>
      </c>
      <c r="AC18" s="211" t="str">
        <f t="shared" si="4"/>
        <v/>
      </c>
      <c r="AE18" s="196">
        <v>8</v>
      </c>
      <c r="AF18" s="211" t="e">
        <f>VLOOKUP($I$1,'仕様基準-省エネ基準_非表示'!$B$10:$J$12,$AE18,FALSE)</f>
        <v>#N/A</v>
      </c>
      <c r="AG18" s="211"/>
      <c r="AH18" s="211"/>
      <c r="AI18" s="211" t="s">
        <v>3952</v>
      </c>
      <c r="AJ18" s="211" t="e">
        <f>AF18</f>
        <v>#N/A</v>
      </c>
      <c r="AL18" s="75" t="str">
        <f t="shared" si="6"/>
        <v/>
      </c>
      <c r="AM18" s="75" t="str">
        <f t="shared" si="7"/>
        <v/>
      </c>
      <c r="AP18" s="422">
        <f>IF(C18="断熱部位",IF(R18="適合",0,1),0)</f>
        <v>0</v>
      </c>
      <c r="AQ18" s="213"/>
      <c r="AS18" s="371" t="str">
        <f t="shared" si="8"/>
        <v/>
      </c>
      <c r="AT18" s="371" t="str">
        <f t="shared" si="9"/>
        <v/>
      </c>
      <c r="AU18" s="371" t="str">
        <f t="shared" si="10"/>
        <v/>
      </c>
      <c r="AV18" s="372" t="str">
        <f t="shared" si="11"/>
        <v/>
      </c>
      <c r="AW18" s="372" t="str">
        <f>IF(C18="該当部位なし","－",IF(D18="","",AJ18))</f>
        <v/>
      </c>
      <c r="AX18" s="371" t="str">
        <f>IF(C18="","",IF(C18="該当部位なし","該当部位なし",IF(L18="","－",L18)))</f>
        <v/>
      </c>
    </row>
    <row r="19" spans="2:53" ht="45.75">
      <c r="B19" s="399" t="s">
        <v>4287</v>
      </c>
      <c r="C19" s="215"/>
      <c r="D19" s="216"/>
      <c r="E19" s="21" t="str">
        <f>IF(C19="断熱部位","内断熱、外断熱または両側断熱","")</f>
        <v/>
      </c>
      <c r="F19" s="451"/>
      <c r="G19" s="466"/>
      <c r="H19" s="314" t="str">
        <f>IF(F19="","",VLOOKUP(F19,断熱材_非表示!$G$6:$H$87,2,FALSE))</f>
        <v/>
      </c>
      <c r="I19" s="217"/>
      <c r="J19" s="188" t="str">
        <f t="shared" si="2"/>
        <v/>
      </c>
      <c r="K19" s="215"/>
      <c r="L19" s="451"/>
      <c r="M19" s="452"/>
      <c r="N19" s="452"/>
      <c r="O19" s="452"/>
      <c r="P19" s="188" t="str">
        <f t="shared" si="3"/>
        <v/>
      </c>
      <c r="Q19" s="319" t="str">
        <f t="shared" si="0"/>
        <v/>
      </c>
      <c r="R19" s="318" t="str">
        <f t="shared" si="1"/>
        <v/>
      </c>
      <c r="AC19" s="211" t="str">
        <f t="shared" si="4"/>
        <v/>
      </c>
      <c r="AE19" s="196">
        <v>9</v>
      </c>
      <c r="AF19" s="211" t="e">
        <f>VLOOKUP($I$1,'仕様基準-省エネ基準_非表示'!$B$10:$J$12,$AE19,FALSE)</f>
        <v>#N/A</v>
      </c>
      <c r="AG19" s="211"/>
      <c r="AH19" s="211"/>
      <c r="AI19" s="211" t="s">
        <v>3952</v>
      </c>
      <c r="AJ19" s="211" t="e">
        <f>AF19</f>
        <v>#N/A</v>
      </c>
      <c r="AL19" s="75" t="str">
        <f t="shared" si="6"/>
        <v/>
      </c>
      <c r="AM19" s="75" t="str">
        <f t="shared" si="7"/>
        <v/>
      </c>
      <c r="AP19" s="422">
        <f>IF(C19="断熱部位",IF(R19="適合",0,1),0)</f>
        <v>0</v>
      </c>
      <c r="AQ19" s="213"/>
      <c r="AS19" s="371" t="str">
        <f t="shared" si="8"/>
        <v/>
      </c>
      <c r="AT19" s="371" t="str">
        <f t="shared" si="9"/>
        <v/>
      </c>
      <c r="AU19" s="371" t="str">
        <f t="shared" si="10"/>
        <v/>
      </c>
      <c r="AV19" s="372" t="str">
        <f t="shared" si="11"/>
        <v/>
      </c>
      <c r="AW19" s="372" t="str">
        <f>IF(C19="該当部位なし","－",IF(D19="","",AJ19))</f>
        <v/>
      </c>
      <c r="AX19" s="371" t="str">
        <f>IF(C19="","",IF(C19="該当部位なし","該当部位なし",IF(L19="","－",L19)))</f>
        <v/>
      </c>
    </row>
    <row r="20" spans="2:53" ht="15.75">
      <c r="B20" s="154" t="s">
        <v>3999</v>
      </c>
      <c r="S20" s="196"/>
      <c r="AC20" s="8"/>
    </row>
    <row r="21" spans="2:53" ht="15.75">
      <c r="B21" s="154" t="s">
        <v>4288</v>
      </c>
      <c r="S21" s="196"/>
      <c r="AC21" s="8"/>
    </row>
    <row r="22" spans="2:53">
      <c r="C22" s="4"/>
      <c r="D22" s="4"/>
      <c r="Q22" s="4"/>
    </row>
    <row r="23" spans="2:53" ht="333" customHeight="1">
      <c r="X23" s="8"/>
      <c r="Y23" s="8"/>
      <c r="Z23" s="8"/>
      <c r="AA23" s="8"/>
      <c r="AB23" s="8"/>
      <c r="AD23" s="8"/>
    </row>
    <row r="24" spans="2:53" ht="21" customHeight="1">
      <c r="C24" s="123"/>
      <c r="D24" s="123"/>
      <c r="E24" s="225"/>
      <c r="F24" s="225"/>
      <c r="G24" s="464"/>
      <c r="H24" s="464"/>
      <c r="I24" s="464"/>
      <c r="J24" s="464"/>
      <c r="K24" s="464"/>
      <c r="L24" s="464"/>
      <c r="M24" s="228"/>
      <c r="N24" s="228"/>
      <c r="O24" s="228"/>
      <c r="P24" s="465"/>
      <c r="Q24" s="465"/>
      <c r="R24" s="465"/>
      <c r="S24" s="465"/>
      <c r="T24" s="226" t="s">
        <v>3975</v>
      </c>
      <c r="U24" s="226" t="s">
        <v>3975</v>
      </c>
      <c r="V24" s="226" t="s">
        <v>3975</v>
      </c>
      <c r="W24" s="226" t="s">
        <v>3975</v>
      </c>
      <c r="X24" s="226" t="s">
        <v>3975</v>
      </c>
      <c r="Y24" s="8"/>
      <c r="Z24" s="8"/>
      <c r="AA24" s="8"/>
      <c r="AB24" s="122"/>
      <c r="AC24" s="122"/>
      <c r="AD24" s="8"/>
      <c r="AE24" s="8"/>
      <c r="AF24" s="8"/>
      <c r="AJ24" s="8"/>
      <c r="AS24" s="196" t="s">
        <v>4048</v>
      </c>
    </row>
    <row r="25" spans="2:53" ht="18" customHeight="1">
      <c r="B25" s="174"/>
      <c r="C25" s="175"/>
      <c r="D25" s="174"/>
      <c r="E25" s="176" t="s">
        <v>480</v>
      </c>
      <c r="F25" s="176" t="s">
        <v>481</v>
      </c>
      <c r="G25" s="460" t="s">
        <v>482</v>
      </c>
      <c r="H25" s="460"/>
      <c r="I25" s="460" t="s">
        <v>483</v>
      </c>
      <c r="J25" s="460"/>
      <c r="K25" s="460" t="s">
        <v>484</v>
      </c>
      <c r="L25" s="460"/>
      <c r="M25" s="176" t="s">
        <v>485</v>
      </c>
      <c r="N25" s="176" t="s">
        <v>486</v>
      </c>
      <c r="O25" s="176" t="s">
        <v>487</v>
      </c>
      <c r="P25" s="487" t="s">
        <v>488</v>
      </c>
      <c r="Q25" s="488"/>
      <c r="R25" s="488"/>
      <c r="S25" s="489"/>
      <c r="T25" s="177"/>
      <c r="U25" s="251"/>
      <c r="V25" s="177"/>
      <c r="W25" s="251"/>
      <c r="X25" s="177"/>
      <c r="Y25" s="8"/>
      <c r="Z25" s="8"/>
      <c r="AA25" s="8"/>
      <c r="AB25" s="122"/>
      <c r="AC25" s="122"/>
      <c r="AD25" s="8"/>
      <c r="AE25" s="8"/>
      <c r="AF25" s="8"/>
      <c r="AJ25" s="8"/>
      <c r="AN25" s="196" t="s">
        <v>4</v>
      </c>
      <c r="AO25" s="196"/>
      <c r="AS25" s="75" t="s">
        <v>233</v>
      </c>
      <c r="AT25" s="75" t="s">
        <v>4159</v>
      </c>
      <c r="AU25" s="75" t="s">
        <v>4032</v>
      </c>
      <c r="AV25" s="75" t="s">
        <v>3961</v>
      </c>
      <c r="AW25" s="75" t="s">
        <v>4161</v>
      </c>
      <c r="AX25" s="75"/>
      <c r="AY25" s="75" t="s">
        <v>4162</v>
      </c>
      <c r="AZ25" s="75"/>
      <c r="BA25" s="75" t="s">
        <v>232</v>
      </c>
    </row>
    <row r="26" spans="2:53" s="8" customFormat="1" ht="30" customHeight="1">
      <c r="B26" s="5" t="s">
        <v>2</v>
      </c>
      <c r="C26" s="453" t="s">
        <v>10</v>
      </c>
      <c r="D26" s="454"/>
      <c r="E26" s="6" t="s">
        <v>34</v>
      </c>
      <c r="F26" s="170" t="s">
        <v>3903</v>
      </c>
      <c r="G26" s="453" t="s">
        <v>233</v>
      </c>
      <c r="H26" s="454"/>
      <c r="I26" s="453" t="s">
        <v>234</v>
      </c>
      <c r="J26" s="455"/>
      <c r="K26" s="453" t="s">
        <v>333</v>
      </c>
      <c r="L26" s="455"/>
      <c r="M26" s="533" t="s">
        <v>3924</v>
      </c>
      <c r="N26" s="9" t="s">
        <v>3907</v>
      </c>
      <c r="O26" s="533" t="s">
        <v>4007</v>
      </c>
      <c r="P26" s="456" t="s">
        <v>4004</v>
      </c>
      <c r="Q26" s="455"/>
      <c r="R26" s="455"/>
      <c r="S26" s="454"/>
      <c r="T26" s="457" t="s">
        <v>3987</v>
      </c>
      <c r="U26" s="458"/>
      <c r="V26" s="457" t="s">
        <v>3988</v>
      </c>
      <c r="W26" s="458"/>
      <c r="X26" s="7" t="s">
        <v>4</v>
      </c>
      <c r="AB26" s="122"/>
      <c r="AC26" s="122"/>
      <c r="AD26" s="1"/>
      <c r="AG26" s="1"/>
      <c r="AH26" s="196" t="s">
        <v>497</v>
      </c>
      <c r="AI26" s="1"/>
      <c r="AJ26" s="196" t="s">
        <v>3955</v>
      </c>
      <c r="AK26" s="196" t="s">
        <v>3956</v>
      </c>
      <c r="AL26" s="196" t="s">
        <v>3955</v>
      </c>
      <c r="AM26" s="196" t="s">
        <v>3956</v>
      </c>
      <c r="AN26" s="196" t="s">
        <v>3955</v>
      </c>
      <c r="AO26" s="196" t="s">
        <v>3956</v>
      </c>
      <c r="AS26" s="75"/>
      <c r="AT26" s="75"/>
      <c r="AU26" s="75"/>
      <c r="AV26" s="75"/>
      <c r="AW26" s="75" t="s">
        <v>4160</v>
      </c>
      <c r="AX26" s="75" t="s">
        <v>497</v>
      </c>
      <c r="AY26" s="75" t="s">
        <v>4160</v>
      </c>
      <c r="AZ26" s="75" t="s">
        <v>497</v>
      </c>
      <c r="BA26" s="75"/>
    </row>
    <row r="27" spans="2:53" s="8" customFormat="1" ht="18" customHeight="1">
      <c r="B27" s="5"/>
      <c r="C27" s="7"/>
      <c r="D27" s="5"/>
      <c r="E27" s="6"/>
      <c r="F27" s="170"/>
      <c r="G27" s="7"/>
      <c r="H27" s="5"/>
      <c r="I27" s="7"/>
      <c r="J27" s="250"/>
      <c r="K27" s="7"/>
      <c r="L27" s="250"/>
      <c r="M27" s="533"/>
      <c r="N27" s="9"/>
      <c r="O27" s="533"/>
      <c r="P27" s="456" t="s">
        <v>4005</v>
      </c>
      <c r="Q27" s="467"/>
      <c r="R27" s="467"/>
      <c r="S27" s="468"/>
      <c r="T27" s="9" t="s">
        <v>3985</v>
      </c>
      <c r="U27" s="9" t="s">
        <v>3986</v>
      </c>
      <c r="V27" s="9" t="s">
        <v>3985</v>
      </c>
      <c r="W27" s="9" t="s">
        <v>3986</v>
      </c>
      <c r="X27" s="7"/>
      <c r="AB27" s="122"/>
      <c r="AC27" s="196" t="s">
        <v>3955</v>
      </c>
      <c r="AD27" s="196" t="s">
        <v>3955</v>
      </c>
      <c r="AG27" s="1"/>
      <c r="AH27" s="196"/>
      <c r="AI27" s="1"/>
      <c r="AJ27" s="196"/>
      <c r="AK27" s="196"/>
      <c r="AL27" s="196"/>
      <c r="AM27" s="196"/>
      <c r="AN27" s="196"/>
      <c r="AO27" s="196"/>
      <c r="AQ27" s="196" t="s">
        <v>4048</v>
      </c>
      <c r="AR27" s="196" t="s">
        <v>4048</v>
      </c>
      <c r="AS27" s="75">
        <v>1</v>
      </c>
      <c r="AT27" s="75">
        <v>2</v>
      </c>
      <c r="AU27" s="75">
        <v>3</v>
      </c>
      <c r="AV27" s="75">
        <v>4</v>
      </c>
      <c r="AW27" s="75">
        <v>5</v>
      </c>
      <c r="AX27" s="75">
        <v>6</v>
      </c>
      <c r="AY27" s="75">
        <v>7</v>
      </c>
      <c r="AZ27" s="75">
        <v>8</v>
      </c>
      <c r="BA27" s="75">
        <v>9</v>
      </c>
    </row>
    <row r="28" spans="2:53" s="8" customFormat="1" ht="19.899999999999999" customHeight="1">
      <c r="B28" s="23"/>
      <c r="C28" s="178"/>
      <c r="D28" s="179"/>
      <c r="E28" s="180"/>
      <c r="F28" s="180"/>
      <c r="G28" s="172"/>
      <c r="H28" s="23"/>
      <c r="I28" s="171"/>
      <c r="J28" s="172"/>
      <c r="K28" s="171"/>
      <c r="L28" s="172"/>
      <c r="M28" s="6"/>
      <c r="N28" s="180" t="s">
        <v>29</v>
      </c>
      <c r="O28" s="431" t="s">
        <v>4297</v>
      </c>
      <c r="P28" s="446" t="s">
        <v>4072</v>
      </c>
      <c r="Q28" s="447"/>
      <c r="R28" s="447"/>
      <c r="S28" s="448"/>
      <c r="T28" s="180" t="s">
        <v>29</v>
      </c>
      <c r="U28" s="180" t="s">
        <v>29</v>
      </c>
      <c r="V28" s="180" t="s">
        <v>30</v>
      </c>
      <c r="W28" s="180" t="s">
        <v>30</v>
      </c>
      <c r="X28" s="171"/>
      <c r="AB28" s="122"/>
      <c r="AC28" s="196" t="s">
        <v>4262</v>
      </c>
      <c r="AD28" s="196" t="s">
        <v>4263</v>
      </c>
      <c r="AG28" s="1"/>
      <c r="AH28" s="196" t="s">
        <v>3928</v>
      </c>
      <c r="AI28" s="196" t="s">
        <v>3930</v>
      </c>
      <c r="AJ28" s="196" t="s">
        <v>3928</v>
      </c>
      <c r="AK28" s="196" t="s">
        <v>3928</v>
      </c>
      <c r="AL28" s="196" t="s">
        <v>3930</v>
      </c>
      <c r="AM28" s="196" t="s">
        <v>3930</v>
      </c>
      <c r="AN28" s="196"/>
      <c r="AO28" s="196"/>
      <c r="AP28" s="196" t="s">
        <v>3914</v>
      </c>
      <c r="AQ28" s="196" t="s">
        <v>3928</v>
      </c>
      <c r="AR28" s="196" t="s">
        <v>3930</v>
      </c>
    </row>
    <row r="29" spans="2:53" ht="48" customHeight="1">
      <c r="B29" s="527" t="s">
        <v>4291</v>
      </c>
      <c r="C29" s="531" t="s">
        <v>4295</v>
      </c>
      <c r="D29" s="532"/>
      <c r="E29" s="218"/>
      <c r="F29" s="219"/>
      <c r="G29" s="449"/>
      <c r="H29" s="450"/>
      <c r="I29" s="449"/>
      <c r="J29" s="450"/>
      <c r="K29" s="449"/>
      <c r="L29" s="450"/>
      <c r="M29" s="324"/>
      <c r="N29" s="215"/>
      <c r="O29" s="324"/>
      <c r="P29" s="449"/>
      <c r="Q29" s="459"/>
      <c r="R29" s="459"/>
      <c r="S29" s="459"/>
      <c r="T29" s="427" t="str">
        <f>IF(F29="直接入力",IF(N29="","",AC29),IF(G29="","",IFERROR(VLOOKUP(AF29,窓のプルダウン_非表示!$Q$7:$R$61,2,FALSE),"エラー！選択肢チェック参照")))</f>
        <v/>
      </c>
      <c r="U29" s="416" t="str">
        <f>IFERROR(IF(F29="直接入力",IF(N29="","","≦"&amp;" "&amp;AH29),IF(ISNUMBER(T29),"≦"&amp;" "&amp;AH29,"")),"エラー")</f>
        <v/>
      </c>
      <c r="V29" s="417"/>
      <c r="W29" s="417"/>
      <c r="X29" s="318" t="str">
        <f>IF(E29="","",IF(OR($I$1=1,$I$1=2,$I$1=3,$I$1=4,$I$1=3,$I$1=8),"地域に対し入力するシートが違います",IF(E29="なし","該当窓なし",IF(F29="直接入力",AJ29,IF(F29="建具とガラスの組み合わせから入力",AK29,"")))))</f>
        <v/>
      </c>
      <c r="Y29" s="8"/>
      <c r="Z29" s="8"/>
      <c r="AA29" s="8"/>
      <c r="AB29" s="122"/>
      <c r="AC29" s="211" t="str">
        <f>IF(N29="","",ROUND(N29,1))</f>
        <v/>
      </c>
      <c r="AD29" s="411"/>
      <c r="AE29" s="74" t="str">
        <f>G29&amp;"_"&amp;I29</f>
        <v>_</v>
      </c>
      <c r="AF29" s="74" t="str">
        <f>G29&amp;"_"&amp;I29&amp;"_"&amp;K29</f>
        <v>__</v>
      </c>
      <c r="AG29" s="74">
        <f>I29</f>
        <v>0</v>
      </c>
      <c r="AH29" s="74" t="e">
        <f>VLOOKUP($I$1,'仕様基準-省エネ基準_非表示'!$L$10:$O$12,3,FALSE)</f>
        <v>#N/A</v>
      </c>
      <c r="AJ29" s="196" t="str">
        <f>IF(N29="","",IF(AC29&lt;=AH29,"適合","不適"))</f>
        <v/>
      </c>
      <c r="AK29" s="196" t="str">
        <f>IF(U29="","",IF(T29&lt;=AH29,"適合","不適"))</f>
        <v/>
      </c>
      <c r="AL29" s="196"/>
      <c r="AM29" s="121"/>
      <c r="AN29" s="121"/>
      <c r="AO29" s="121"/>
      <c r="AP29" s="422">
        <f>IF(E29="あり",IF(X29="適合",0,1),0)</f>
        <v>0</v>
      </c>
      <c r="AQ29" s="213" t="str">
        <f>IF(F29="","",IF(F29="直接入力",N29,T29))</f>
        <v/>
      </c>
      <c r="AS29" s="374" t="str">
        <f>IF(OR(E29="",E29="なし"),"－",IF(F29="直接入力","－",G29))</f>
        <v>－</v>
      </c>
      <c r="AT29" s="374" t="str">
        <f>IF(OR(E29="",E29="なし"),"－",IF(F29="直接入力","－",I29))</f>
        <v>－</v>
      </c>
      <c r="AU29" s="374" t="str">
        <f>IF(OR(E29="",E29="なし"),"－",IF(F29="直接入力","－",K29))</f>
        <v>－</v>
      </c>
      <c r="AV29" s="375"/>
      <c r="AW29" s="374" t="str">
        <f>IF(OR(E29="",E29="なし"),"－",T29)</f>
        <v>－</v>
      </c>
      <c r="AX29" s="374" t="str">
        <f>IF(OR(E29="",E29="なし"),"－",AH29)</f>
        <v>－</v>
      </c>
      <c r="AY29" s="375"/>
      <c r="AZ29" s="375"/>
      <c r="BA29" s="374" t="str">
        <f>IF(E29="","－",IF(E29="なし","該当窓なし",IF(P29="","－",P29)))</f>
        <v>－</v>
      </c>
    </row>
    <row r="30" spans="2:53" ht="48" customHeight="1">
      <c r="B30" s="527"/>
      <c r="C30" s="529" t="s">
        <v>4296</v>
      </c>
      <c r="D30" s="279" t="s">
        <v>4008</v>
      </c>
      <c r="E30" s="217"/>
      <c r="F30" s="221"/>
      <c r="G30" s="451"/>
      <c r="H30" s="466"/>
      <c r="I30" s="451"/>
      <c r="J30" s="466"/>
      <c r="K30" s="451"/>
      <c r="L30" s="466"/>
      <c r="M30" s="220"/>
      <c r="N30" s="215"/>
      <c r="O30" s="215"/>
      <c r="P30" s="451"/>
      <c r="Q30" s="452"/>
      <c r="R30" s="452"/>
      <c r="S30" s="452"/>
      <c r="T30" s="427" t="str">
        <f>IF(F30="直接入力",IF(N30="","",AC30),IF(G30="","",IFERROR(VLOOKUP(AF30,窓のプルダウン_非表示!$Q$7:$R$61,2,FALSE),"エラー！選択肢チェック参照")))</f>
        <v/>
      </c>
      <c r="U30" s="416" t="str">
        <f>IFERROR(IF(F30="直接入力",IF(N30="","","≦"&amp;" "&amp;AH30),IF(ISNUMBER(T30),"≦"&amp;" "&amp;AH30,"")),"エラー")</f>
        <v/>
      </c>
      <c r="V30" s="414" t="str">
        <f>IF(F30="直接入力",IF(O30="","",AD30),IF(G30="","",IFERROR(IF(M30="日射取得型",VLOOKUP(AF30,窓のプルダウン_非表示!$Q$7:$U$61,3,FALSE),IF(M30="日射遮蔽型",VLOOKUP(AF30,窓のプルダウン_非表示!$Q$7:$U$61,4,FALSE),IF(M30="－",VLOOKUP(AF30,窓のプルダウン_非表示!$Q$7:$U$61,5,FALSE),"エラー！選択肢チェック参照"))),"エラー！選択肢チェック参照")))</f>
        <v/>
      </c>
      <c r="W30" s="415" t="str">
        <f>IFERROR(IF(F30="直接入力",IF(O30="","","≦"&amp;" "&amp;AI30),IF(ISNUMBER(V30),"≦"&amp;" "&amp;AI30,"")),"エラー")</f>
        <v/>
      </c>
      <c r="X30" s="318" t="str">
        <f>IF(E30="","",IF(OR($I$1=1,$I$1=2,$I$1=3,$I$1=4,$I$1=3,$I$1=8),"地域に対し入力するシートが違います",IF(E30="なし","該当窓なし",IF(F30="直接入力",AN30,IF(F30="建具とガラスの組み合わせから入力",AO30,"")))))</f>
        <v/>
      </c>
      <c r="Y30" s="8"/>
      <c r="Z30" s="8"/>
      <c r="AA30" s="8"/>
      <c r="AB30" s="169"/>
      <c r="AC30" s="304" t="str">
        <f t="shared" ref="AC30:AC31" si="13">IF(N30="","",ROUND(N30,1))</f>
        <v/>
      </c>
      <c r="AD30" s="424" t="str">
        <f>IF(O30="","",ROUND(O30,2))</f>
        <v/>
      </c>
      <c r="AE30" s="74" t="str">
        <f>G30&amp;"_"&amp;I30</f>
        <v>_</v>
      </c>
      <c r="AF30" s="74" t="str">
        <f>G30&amp;"_"&amp;I30&amp;"_"&amp;K30</f>
        <v>__</v>
      </c>
      <c r="AG30" s="74">
        <f>I30</f>
        <v>0</v>
      </c>
      <c r="AH30" s="74" t="e">
        <f>VLOOKUP($I$1,'仕様基準-省エネ基準_非表示'!$L$10:$O$12,3,FALSE)</f>
        <v>#N/A</v>
      </c>
      <c r="AI30" s="74" t="e">
        <f>VLOOKUP($I$1,'仕様基準-省エネ基準_非表示'!$L$10:$O$12,4,FALSE)</f>
        <v>#N/A</v>
      </c>
      <c r="AJ30" s="196" t="str">
        <f>IF(N30="","",IF(AC30&lt;=AH30,"適合","不適"))</f>
        <v/>
      </c>
      <c r="AK30" s="196" t="str">
        <f>IF(U30="","",IF(T30&lt;=AH30,"適合","不適"))</f>
        <v/>
      </c>
      <c r="AL30" s="196" t="str">
        <f>IF(O30="","",IF(AD30&lt;=AI30,"適合","不適"))</f>
        <v/>
      </c>
      <c r="AM30" s="196" t="str">
        <f>IF(W30="","",IF(V30&lt;=AI30,"適合","不適"))</f>
        <v/>
      </c>
      <c r="AN30" s="196" t="str">
        <f>IF(AND(N30="",O30=""),"",IF(AND(AJ30="適合",AL30="適合"),"適合","不適"))</f>
        <v/>
      </c>
      <c r="AO30" s="196" t="str">
        <f>IF(AND(U30="",W30=""),"",IF(AND(AK30="適合",AM30="適合"),"適合","不適"))</f>
        <v/>
      </c>
      <c r="AP30" s="422">
        <f>IF(E30="あり",IF(X30="適合",0,1),0)</f>
        <v>0</v>
      </c>
      <c r="AQ30" s="304" t="str">
        <f t="shared" ref="AQ30" si="14">IF(F30="","",IF(F30="直接入力",N30,T30))</f>
        <v/>
      </c>
      <c r="AR30" s="304" t="str">
        <f>IF(F30="","",IF(F30="直接入力",O30,V30))</f>
        <v/>
      </c>
      <c r="AS30" s="374" t="str">
        <f t="shared" ref="AS30:AS31" si="15">IF(OR(E30="",E30="なし"),"－",IF(F30="直接入力","－",G30))</f>
        <v>－</v>
      </c>
      <c r="AT30" s="374" t="str">
        <f t="shared" ref="AT30:AT31" si="16">IF(OR(E30="",E30="なし"),"－",IF(F30="直接入力","－",I30))</f>
        <v>－</v>
      </c>
      <c r="AU30" s="374" t="str">
        <f>IF(OR(E30="",E30="なし"),"－",IF(F30="直接入力","－",K30))</f>
        <v>－</v>
      </c>
      <c r="AV30" s="374" t="str">
        <f>IF(OR(E30="",E30="なし"),"－",IF(F30="直接入力","－",M30))</f>
        <v>－</v>
      </c>
      <c r="AW30" s="374" t="str">
        <f>IF(OR(E30="",E30="なし"),"－",T30)</f>
        <v>－</v>
      </c>
      <c r="AX30" s="374" t="str">
        <f>IF(OR(E30="",E30="なし"),"－",AH30)</f>
        <v>－</v>
      </c>
      <c r="AY30" s="374" t="str">
        <f>IF(OR(E30="",E30="なし"),"－",V30)</f>
        <v>－</v>
      </c>
      <c r="AZ30" s="374" t="str">
        <f>IF(OR(E30="",E30="なし"),"－",AI30)</f>
        <v>－</v>
      </c>
      <c r="BA30" s="374" t="str">
        <f t="shared" ref="BA30:BA31" si="17">IF(E30="","－",IF(E30="なし","該当窓なし",IF(P30="","－",P30)))</f>
        <v>－</v>
      </c>
    </row>
    <row r="31" spans="2:53" ht="48" customHeight="1">
      <c r="B31" s="528"/>
      <c r="C31" s="530"/>
      <c r="D31" s="279" t="s">
        <v>4298</v>
      </c>
      <c r="E31" s="217"/>
      <c r="F31" s="221"/>
      <c r="G31" s="451"/>
      <c r="H31" s="466"/>
      <c r="I31" s="451"/>
      <c r="J31" s="466"/>
      <c r="K31" s="451"/>
      <c r="L31" s="466"/>
      <c r="M31" s="220"/>
      <c r="N31" s="215"/>
      <c r="O31" s="215"/>
      <c r="P31" s="451"/>
      <c r="Q31" s="452"/>
      <c r="R31" s="452"/>
      <c r="S31" s="452"/>
      <c r="T31" s="427" t="str">
        <f>IF(F31="直接入力",IF(N31="","",AC31),IF(G31="","",IFERROR(VLOOKUP(AF31,窓のプルダウン_非表示!$Q$7:$R$61,2,FALSE),"エラー！選択肢チェック参照")))</f>
        <v/>
      </c>
      <c r="U31" s="416" t="str">
        <f>IFERROR(IF(F31="直接入力",IF(N31="","","≦"&amp;" "&amp;AH31),IF(ISNUMBER(T31),"≦"&amp;" "&amp;AH31,"")),"エラー")</f>
        <v/>
      </c>
      <c r="V31" s="414" t="str">
        <f>IF(F31="直接入力",IF(O31="","",AD31),IF(G31="","",IFERROR(IF(M31="日射取得型",VLOOKUP(AF31,窓のプルダウン_非表示!$Q$7:$U$61,3,FALSE),IF(M31="日射遮蔽型",VLOOKUP(AF31,窓のプルダウン_非表示!$Q$7:$U$61,4,FALSE),IF(M31="－",VLOOKUP(AF31,窓のプルダウン_非表示!$Q$7:$U$61,5,FALSE),"エラー！選択肢チェック参照"))),"エラー！選択肢チェック参照")))</f>
        <v/>
      </c>
      <c r="W31" s="415" t="str">
        <f>IFERROR(IF(F31="直接入力",IF(O31="","","≦"&amp;" "&amp;AI31),IF(ISNUMBER(V31),"≦"&amp;" "&amp;AI31,"")),"エラー")</f>
        <v/>
      </c>
      <c r="X31" s="318" t="str">
        <f>IF(E31="","",IF(OR($I$1=1,$I$1=2,$I$1=3,$I$1=4,$I$1=3,$I$1=8),"地域に対し入力するシートが違います",IF(E31="なし","該当窓なし",IF(F31="直接入力",AN31,IF(F31="建具とガラスの組み合わせから入力",AO31,"")))))</f>
        <v/>
      </c>
      <c r="Y31" s="8"/>
      <c r="Z31" s="8"/>
      <c r="AA31" s="8"/>
      <c r="AB31" s="169"/>
      <c r="AC31" s="304" t="str">
        <f t="shared" si="13"/>
        <v/>
      </c>
      <c r="AD31" s="424" t="str">
        <f>IF(O31="","",ROUND(O31,2))</f>
        <v/>
      </c>
      <c r="AE31" s="74" t="str">
        <f>G31&amp;"_"&amp;I31</f>
        <v>_</v>
      </c>
      <c r="AF31" s="74" t="str">
        <f>G31&amp;"_"&amp;I31&amp;"_"&amp;K31</f>
        <v>__</v>
      </c>
      <c r="AG31" s="74">
        <f>I31</f>
        <v>0</v>
      </c>
      <c r="AH31" s="74" t="e">
        <f>VLOOKUP($I$1,'仕様基準-省エネ基準_非表示'!$L$10:$O$12,3,FALSE)</f>
        <v>#N/A</v>
      </c>
      <c r="AI31" s="74" t="e">
        <f>VLOOKUP($I$1,'仕様基準-省エネ基準_非表示'!$L$10:$O$12,4,FALSE)</f>
        <v>#N/A</v>
      </c>
      <c r="AJ31" s="196" t="str">
        <f>IF(N31="","",IF(AC31&lt;=AH31,"適合","不適"))</f>
        <v/>
      </c>
      <c r="AK31" s="196" t="str">
        <f>IF(U31="","",IF(T31&lt;=AH31,"適合","不適"))</f>
        <v/>
      </c>
      <c r="AL31" s="196" t="str">
        <f>IF(O31="","",IF(AD31&lt;=AI31,"適合","不適"))</f>
        <v/>
      </c>
      <c r="AM31" s="196" t="str">
        <f>IF(W31="","",IF(V31&lt;=AI31,"適合","不適"))</f>
        <v/>
      </c>
      <c r="AN31" s="196" t="str">
        <f>IF(AND(N31="",O31=""),"",IF(AND(AJ31="適合",AL31="適合"),"適合","不適"))</f>
        <v/>
      </c>
      <c r="AO31" s="196" t="str">
        <f>IF(AND(U31="",W31=""),"",IF(AND(AK31="適合",AM31="適合"),"適合","不適"))</f>
        <v/>
      </c>
      <c r="AP31" s="422">
        <f>IF(E31="あり",IF(X31="適合",0,1),0)</f>
        <v>0</v>
      </c>
      <c r="AQ31" s="213" t="str">
        <f>IF(F31="","",IF(F31="直接入力",N31,T31))</f>
        <v/>
      </c>
      <c r="AR31" s="74" t="str">
        <f>IF(F31="","",IF(F31="直接入力",O31,V31))</f>
        <v/>
      </c>
      <c r="AS31" s="374" t="str">
        <f t="shared" si="15"/>
        <v>－</v>
      </c>
      <c r="AT31" s="374" t="str">
        <f t="shared" si="16"/>
        <v>－</v>
      </c>
      <c r="AU31" s="374" t="str">
        <f t="shared" ref="AU31" si="18">IF(OR(E31="",E31="なし"),"－",IF(F31="直接入力","－",K31))</f>
        <v>－</v>
      </c>
      <c r="AV31" s="374" t="str">
        <f>IF(OR(E31="",E31="なし"),"－",IF(F31="直接入力","－",M31))</f>
        <v>－</v>
      </c>
      <c r="AW31" s="374" t="str">
        <f t="shared" ref="AW31" si="19">IF(OR(E31="",E31="なし"),"－",T31)</f>
        <v>－</v>
      </c>
      <c r="AX31" s="374" t="str">
        <f t="shared" ref="AX31" si="20">IF(OR(E31="",E31="なし"),"－",AH31)</f>
        <v>－</v>
      </c>
      <c r="AY31" s="374" t="str">
        <f>IF(OR(E31="",E31="なし"),"－",V31)</f>
        <v>－</v>
      </c>
      <c r="AZ31" s="374" t="str">
        <f>IF(OR(E31="",E31="なし"),"－",AI31)</f>
        <v>－</v>
      </c>
      <c r="BA31" s="374" t="str">
        <f t="shared" si="17"/>
        <v>－</v>
      </c>
    </row>
    <row r="32" spans="2:53" ht="15.75" customHeight="1">
      <c r="B32" s="154" t="s">
        <v>4290</v>
      </c>
      <c r="C32" s="315"/>
      <c r="D32" s="315"/>
      <c r="F32" s="277"/>
      <c r="G32" s="277"/>
      <c r="H32" s="277"/>
      <c r="I32" s="315"/>
      <c r="J32" s="315"/>
      <c r="K32" s="315"/>
      <c r="L32" s="315"/>
      <c r="M32" s="315"/>
      <c r="N32" s="121"/>
      <c r="O32" s="121"/>
      <c r="P32" s="277"/>
      <c r="Q32" s="277"/>
      <c r="R32" s="277"/>
      <c r="S32" s="277"/>
      <c r="T32" s="316"/>
      <c r="U32" s="276"/>
      <c r="V32" s="277"/>
      <c r="W32" s="276"/>
      <c r="X32" s="121"/>
      <c r="Y32" s="8"/>
      <c r="Z32" s="8"/>
      <c r="AA32" s="8"/>
      <c r="AB32" s="169"/>
      <c r="AC32" s="169"/>
      <c r="AE32" s="74"/>
      <c r="AF32" s="74"/>
      <c r="AG32" s="74"/>
      <c r="AH32" s="74"/>
      <c r="AI32" s="74"/>
      <c r="AJ32" s="196"/>
      <c r="AK32" s="196"/>
      <c r="AL32" s="196"/>
      <c r="AM32" s="196"/>
      <c r="AN32" s="196"/>
      <c r="AO32" s="196"/>
      <c r="AP32" s="213"/>
    </row>
    <row r="33" spans="2:50" ht="15.75" customHeight="1">
      <c r="B33" s="154" t="s">
        <v>4292</v>
      </c>
      <c r="C33" s="315"/>
      <c r="D33" s="315"/>
      <c r="F33" s="277"/>
      <c r="G33" s="277"/>
      <c r="H33" s="277"/>
      <c r="I33" s="315"/>
      <c r="J33" s="315"/>
      <c r="K33" s="315"/>
      <c r="L33" s="315"/>
      <c r="M33" s="315"/>
      <c r="N33" s="121"/>
      <c r="O33" s="121"/>
      <c r="P33" s="277"/>
      <c r="Q33" s="277"/>
      <c r="R33" s="277"/>
      <c r="S33" s="277"/>
      <c r="T33" s="316"/>
      <c r="U33" s="276"/>
      <c r="V33" s="277"/>
      <c r="W33" s="276"/>
      <c r="X33" s="121"/>
      <c r="Y33" s="8"/>
      <c r="Z33" s="8"/>
      <c r="AA33" s="8"/>
      <c r="AB33" s="169"/>
      <c r="AC33" s="169"/>
      <c r="AE33" s="74"/>
      <c r="AF33" s="74"/>
      <c r="AG33" s="74"/>
      <c r="AH33" s="74"/>
      <c r="AI33" s="74"/>
      <c r="AJ33" s="196"/>
      <c r="AK33" s="196"/>
      <c r="AL33" s="196"/>
      <c r="AM33" s="196"/>
      <c r="AN33" s="196"/>
      <c r="AO33" s="196"/>
      <c r="AP33" s="213"/>
    </row>
    <row r="34" spans="2:50" ht="15.75" customHeight="1">
      <c r="B34" s="154" t="s">
        <v>4293</v>
      </c>
      <c r="C34" s="315"/>
      <c r="D34" s="315"/>
      <c r="F34" s="277"/>
      <c r="G34" s="277"/>
      <c r="H34" s="277"/>
      <c r="I34" s="315"/>
      <c r="J34" s="315"/>
      <c r="K34" s="315"/>
      <c r="L34" s="315"/>
      <c r="M34" s="315"/>
      <c r="N34" s="121"/>
      <c r="O34" s="121"/>
      <c r="P34" s="277"/>
      <c r="Q34" s="277"/>
      <c r="R34" s="277"/>
      <c r="S34" s="277"/>
      <c r="T34" s="316"/>
      <c r="U34" s="276"/>
      <c r="V34" s="277"/>
      <c r="W34" s="276"/>
      <c r="X34" s="121"/>
      <c r="Y34" s="8"/>
      <c r="Z34" s="8"/>
      <c r="AA34" s="8"/>
      <c r="AB34" s="169"/>
      <c r="AC34" s="169"/>
      <c r="AE34" s="74"/>
      <c r="AF34" s="74"/>
      <c r="AG34" s="74"/>
      <c r="AH34" s="74"/>
      <c r="AI34" s="74"/>
      <c r="AJ34" s="196"/>
      <c r="AK34" s="196"/>
      <c r="AL34" s="196"/>
      <c r="AM34" s="196"/>
      <c r="AN34" s="196"/>
      <c r="AO34" s="196"/>
      <c r="AP34" s="213"/>
    </row>
    <row r="35" spans="2:50" ht="15.75" customHeight="1">
      <c r="B35" s="154" t="s">
        <v>4294</v>
      </c>
      <c r="C35" s="315"/>
      <c r="D35" s="315"/>
      <c r="F35" s="277"/>
      <c r="G35" s="277"/>
      <c r="H35" s="277"/>
      <c r="I35" s="315"/>
      <c r="J35" s="315"/>
      <c r="K35" s="315"/>
      <c r="L35" s="315"/>
      <c r="M35" s="315"/>
      <c r="N35" s="121"/>
      <c r="O35" s="121"/>
      <c r="P35" s="277"/>
      <c r="Q35" s="277"/>
      <c r="R35" s="277"/>
      <c r="S35" s="277"/>
      <c r="T35" s="316"/>
      <c r="U35" s="276"/>
      <c r="V35" s="277"/>
      <c r="W35" s="276"/>
      <c r="X35" s="121"/>
      <c r="Y35" s="8"/>
      <c r="Z35" s="8"/>
      <c r="AA35" s="8"/>
      <c r="AB35" s="169"/>
      <c r="AC35" s="169"/>
      <c r="AE35" s="74"/>
      <c r="AF35" s="74"/>
      <c r="AG35" s="74"/>
      <c r="AH35" s="74"/>
      <c r="AI35" s="74"/>
      <c r="AJ35" s="196"/>
      <c r="AK35" s="196"/>
      <c r="AL35" s="196"/>
      <c r="AM35" s="196"/>
      <c r="AN35" s="196"/>
      <c r="AO35" s="196"/>
      <c r="AP35" s="213"/>
    </row>
    <row r="36" spans="2:50">
      <c r="O36" s="122"/>
      <c r="AD36" s="8"/>
    </row>
    <row r="37" spans="2:50" ht="226.5" customHeight="1">
      <c r="X37" s="8"/>
      <c r="Y37" s="8"/>
      <c r="Z37" s="8"/>
      <c r="AA37" s="8"/>
      <c r="AD37" s="8"/>
    </row>
    <row r="38" spans="2:50" ht="21" customHeight="1">
      <c r="C38" s="225"/>
      <c r="D38" s="464"/>
      <c r="E38" s="464"/>
      <c r="F38" s="464"/>
      <c r="G38" s="464"/>
      <c r="H38" s="464"/>
      <c r="I38" s="464"/>
      <c r="J38" s="227"/>
      <c r="K38" s="465"/>
      <c r="L38" s="465"/>
      <c r="M38" s="465"/>
      <c r="N38" s="465"/>
      <c r="O38" s="226" t="s">
        <v>3975</v>
      </c>
      <c r="P38" s="226" t="s">
        <v>3975</v>
      </c>
      <c r="Q38" s="226" t="s">
        <v>3975</v>
      </c>
      <c r="AJ38" s="8"/>
    </row>
    <row r="39" spans="2:50" ht="18" customHeight="1">
      <c r="B39" s="174"/>
      <c r="C39" s="176" t="s">
        <v>480</v>
      </c>
      <c r="D39" s="460" t="s">
        <v>481</v>
      </c>
      <c r="E39" s="460"/>
      <c r="F39" s="460" t="s">
        <v>482</v>
      </c>
      <c r="G39" s="460"/>
      <c r="H39" s="460" t="s">
        <v>483</v>
      </c>
      <c r="I39" s="460"/>
      <c r="J39" s="176" t="s">
        <v>484</v>
      </c>
      <c r="K39" s="461" t="s">
        <v>485</v>
      </c>
      <c r="L39" s="462"/>
      <c r="M39" s="462"/>
      <c r="N39" s="463"/>
      <c r="O39" s="177"/>
      <c r="P39" s="251"/>
      <c r="Q39" s="321"/>
      <c r="AJ39" s="8"/>
    </row>
    <row r="40" spans="2:50" s="8" customFormat="1" ht="30" customHeight="1">
      <c r="B40" s="5" t="s">
        <v>2</v>
      </c>
      <c r="C40" s="170" t="s">
        <v>3972</v>
      </c>
      <c r="D40" s="453" t="s">
        <v>235</v>
      </c>
      <c r="E40" s="454"/>
      <c r="F40" s="453" t="s">
        <v>236</v>
      </c>
      <c r="G40" s="454"/>
      <c r="H40" s="453" t="s">
        <v>454</v>
      </c>
      <c r="I40" s="455"/>
      <c r="J40" s="9" t="s">
        <v>3907</v>
      </c>
      <c r="K40" s="456" t="s">
        <v>4006</v>
      </c>
      <c r="L40" s="455"/>
      <c r="M40" s="455"/>
      <c r="N40" s="454"/>
      <c r="O40" s="457" t="s">
        <v>3987</v>
      </c>
      <c r="P40" s="458"/>
      <c r="Q40" s="322" t="s">
        <v>4</v>
      </c>
      <c r="R40" s="1"/>
      <c r="S40" s="1"/>
      <c r="T40" s="1"/>
      <c r="AA40" s="1"/>
      <c r="AB40" s="1"/>
      <c r="AC40" s="1"/>
      <c r="AD40" s="1"/>
      <c r="AG40" s="1"/>
      <c r="AH40" s="1"/>
      <c r="AI40" s="196" t="s">
        <v>3928</v>
      </c>
      <c r="AJ40" s="1"/>
      <c r="AS40" s="74" t="s">
        <v>235</v>
      </c>
      <c r="AT40" s="74" t="s">
        <v>4038</v>
      </c>
      <c r="AU40" s="74" t="s">
        <v>4049</v>
      </c>
      <c r="AV40" s="74" t="s">
        <v>4034</v>
      </c>
      <c r="AW40" s="74" t="s">
        <v>4035</v>
      </c>
      <c r="AX40" s="74" t="s">
        <v>232</v>
      </c>
    </row>
    <row r="41" spans="2:50" s="8" customFormat="1" ht="18" customHeight="1">
      <c r="B41" s="5"/>
      <c r="C41" s="170"/>
      <c r="D41" s="7"/>
      <c r="E41" s="5"/>
      <c r="F41" s="7"/>
      <c r="G41" s="250"/>
      <c r="H41" s="7"/>
      <c r="I41" s="250"/>
      <c r="J41" s="9"/>
      <c r="K41" s="456" t="s">
        <v>4005</v>
      </c>
      <c r="L41" s="467"/>
      <c r="M41" s="467"/>
      <c r="N41" s="468"/>
      <c r="O41" s="9" t="s">
        <v>3985</v>
      </c>
      <c r="P41" s="9" t="s">
        <v>3986</v>
      </c>
      <c r="Q41" s="322"/>
      <c r="R41" s="1"/>
      <c r="S41" s="1"/>
      <c r="T41" s="1"/>
      <c r="AA41" s="1"/>
      <c r="AB41" s="1"/>
      <c r="AC41" s="196" t="s">
        <v>3955</v>
      </c>
      <c r="AD41" s="1"/>
      <c r="AG41" s="1"/>
      <c r="AH41" s="1"/>
      <c r="AI41" s="196"/>
      <c r="AJ41" s="1"/>
      <c r="AQ41" s="196" t="s">
        <v>4048</v>
      </c>
      <c r="AS41" s="75">
        <v>1</v>
      </c>
      <c r="AT41" s="75">
        <v>2</v>
      </c>
      <c r="AU41" s="75">
        <v>3</v>
      </c>
      <c r="AV41" s="75">
        <v>4</v>
      </c>
      <c r="AW41" s="75">
        <v>5</v>
      </c>
      <c r="AX41" s="75">
        <v>6</v>
      </c>
    </row>
    <row r="42" spans="2:50" s="8" customFormat="1" ht="19.899999999999999" customHeight="1">
      <c r="B42" s="23"/>
      <c r="C42" s="180"/>
      <c r="D42" s="172"/>
      <c r="E42" s="23"/>
      <c r="F42" s="178"/>
      <c r="G42" s="181"/>
      <c r="H42" s="171"/>
      <c r="I42" s="172"/>
      <c r="J42" s="180" t="s">
        <v>29</v>
      </c>
      <c r="K42" s="446" t="s">
        <v>4072</v>
      </c>
      <c r="L42" s="447"/>
      <c r="M42" s="447"/>
      <c r="N42" s="448"/>
      <c r="O42" s="180" t="s">
        <v>29</v>
      </c>
      <c r="P42" s="180" t="s">
        <v>29</v>
      </c>
      <c r="Q42" s="323"/>
      <c r="R42" s="1"/>
      <c r="S42" s="1"/>
      <c r="T42" s="1"/>
      <c r="AA42" s="1"/>
      <c r="AB42" s="1"/>
      <c r="AC42" s="196" t="s">
        <v>4262</v>
      </c>
      <c r="AD42" s="1"/>
      <c r="AE42" s="1"/>
      <c r="AF42" s="1"/>
      <c r="AG42" s="1"/>
      <c r="AH42" s="196" t="s">
        <v>497</v>
      </c>
      <c r="AI42" s="196" t="s">
        <v>3955</v>
      </c>
      <c r="AJ42" s="196" t="s">
        <v>3956</v>
      </c>
      <c r="AP42" s="196" t="s">
        <v>3914</v>
      </c>
      <c r="AQ42" s="196" t="s">
        <v>3928</v>
      </c>
    </row>
    <row r="43" spans="2:50" ht="45" customHeight="1">
      <c r="B43" s="191" t="s">
        <v>19</v>
      </c>
      <c r="C43" s="219"/>
      <c r="D43" s="449"/>
      <c r="E43" s="450"/>
      <c r="F43" s="449"/>
      <c r="G43" s="450"/>
      <c r="H43" s="449"/>
      <c r="I43" s="450"/>
      <c r="J43" s="215"/>
      <c r="K43" s="451"/>
      <c r="L43" s="452"/>
      <c r="M43" s="452"/>
      <c r="N43" s="452"/>
      <c r="O43" s="426" t="str">
        <f>IF(C43="直接入力",IF(J43="","",AC43),IF(D43="","",IFERROR(VLOOKUP(AF43,ドアのプルダウン_非表示!$I$4:$J$58,2,FALSE),"エラー！選択肢チェック参照")))</f>
        <v/>
      </c>
      <c r="P43" s="416" t="str">
        <f>IFERROR(IF(C43="直接入力",IF(J43="","","≦"&amp;" "&amp;AH43),IF(ISNUMBER(O43),"≦"&amp;" "&amp;AH43,"")),"エラー")</f>
        <v/>
      </c>
      <c r="Q43" s="318" t="str">
        <f>IF(C43="","",IF(OR($I$1=1,$I$1=2,$I$1=3,$I$1=4,$I$1=8),"地域に対し入力するシートが違います",IF(C43="直接入力",AI43,IF(C43="枠と戸の組み合わせから入力",AJ43,""))))</f>
        <v/>
      </c>
      <c r="AC43" s="211" t="str">
        <f>IF(J43="","",ROUND(J43,1))</f>
        <v/>
      </c>
      <c r="AE43" s="74" t="str">
        <f>D43&amp;"_"&amp;F43</f>
        <v>_</v>
      </c>
      <c r="AF43" s="74" t="str">
        <f>D43&amp;"_"&amp;F43&amp;"_"&amp;H43</f>
        <v>__</v>
      </c>
      <c r="AH43" s="74" t="e">
        <f>VLOOKUP($I$1,'仕様基準-省エネ基準_非表示'!Q10:R12,2,FALSE)</f>
        <v>#N/A</v>
      </c>
      <c r="AI43" s="196" t="str">
        <f>IF(J43="","",IF(AC43&lt;=AH43,"適合","不適"))</f>
        <v/>
      </c>
      <c r="AJ43" s="196" t="str">
        <f>IF(P43="","",IF(O43&lt;=AH43,"適合","不適"))</f>
        <v/>
      </c>
      <c r="AP43" s="422">
        <f>IF(Q43="適合",0,1)</f>
        <v>1</v>
      </c>
      <c r="AQ43" s="213" t="str">
        <f>IF(C43="","",IF(C43="直接入力",J43,O43))</f>
        <v/>
      </c>
      <c r="AS43" s="374" t="str">
        <f>IF(C43="","－",IF(C43="直接入力","－",D43))</f>
        <v>－</v>
      </c>
      <c r="AT43" s="374" t="str">
        <f>IF(C43="","－",IF(C43="直接入力","－",F43))</f>
        <v>－</v>
      </c>
      <c r="AU43" s="374" t="str">
        <f>IF(C43="","－",IF(C43="直接入力","－",H43))</f>
        <v>－</v>
      </c>
      <c r="AV43" s="374" t="str">
        <f>IF(C43="","－",O43)</f>
        <v>－</v>
      </c>
      <c r="AW43" s="374" t="str">
        <f>IF(C43="","－",AH43)</f>
        <v>－</v>
      </c>
      <c r="AX43" s="374" t="str">
        <f>IF(C43="","－",IF(K43="","－",K43))</f>
        <v>－</v>
      </c>
    </row>
    <row r="44" spans="2:50">
      <c r="AC44" s="8"/>
    </row>
    <row r="46" spans="2:50" ht="126.75" customHeight="1">
      <c r="AP46" s="196" t="s">
        <v>3914</v>
      </c>
    </row>
    <row r="47" spans="2:50" ht="30" customHeight="1">
      <c r="B47" s="235"/>
      <c r="C47" s="14"/>
      <c r="D47" s="18" t="s">
        <v>4073</v>
      </c>
      <c r="E47" s="18"/>
      <c r="F47" s="18" t="s">
        <v>22</v>
      </c>
      <c r="G47" s="18"/>
      <c r="H47" s="18"/>
      <c r="I47" s="18"/>
      <c r="J47" s="18"/>
      <c r="K47" s="18"/>
      <c r="L47" s="18"/>
      <c r="M47" s="18"/>
      <c r="N47" s="18"/>
      <c r="AE47" s="241" t="b">
        <v>0</v>
      </c>
      <c r="AF47" s="383"/>
      <c r="AG47" s="383"/>
      <c r="AI47" s="247" t="s">
        <v>3979</v>
      </c>
      <c r="AJ47" s="222">
        <f>N(AE47)</f>
        <v>0</v>
      </c>
      <c r="AM47" s="196" t="s">
        <v>4050</v>
      </c>
      <c r="AN47" s="360" t="str" cm="1">
        <f t="array" ref="AN47">IFERROR(_xlfn.IFS(AJ47=1,"住戸全体を暖房",AJ48=1,D48,AJ63=1,D63),"")</f>
        <v/>
      </c>
      <c r="AO47" s="365">
        <f>IF(SUM(AJ47:AJ63)=0,1,0)</f>
        <v>1</v>
      </c>
      <c r="AP47" s="423">
        <f>AO47+AO65+AO73+AO78+AO83</f>
        <v>5</v>
      </c>
      <c r="AS47" s="75" t="s">
        <v>44</v>
      </c>
      <c r="AT47" s="75" t="s">
        <v>45</v>
      </c>
      <c r="AU47" s="371" t="str">
        <f>AN47</f>
        <v/>
      </c>
    </row>
    <row r="48" spans="2:50" ht="30" customHeight="1">
      <c r="B48" s="236"/>
      <c r="C48" s="15"/>
      <c r="D48" s="232" t="s">
        <v>4013</v>
      </c>
      <c r="E48" s="232"/>
      <c r="F48" s="232"/>
      <c r="G48" s="232"/>
      <c r="H48" s="232"/>
      <c r="I48" s="232"/>
      <c r="J48" s="232"/>
      <c r="K48" s="232"/>
      <c r="L48" s="18"/>
      <c r="M48" s="18"/>
      <c r="N48" s="18"/>
      <c r="AE48" s="223" t="b">
        <v>0</v>
      </c>
      <c r="AF48" s="383"/>
      <c r="AG48" s="383"/>
      <c r="AI48" s="193"/>
      <c r="AJ48" s="223">
        <f>N(AE48)</f>
        <v>0</v>
      </c>
      <c r="AM48" s="196" t="s">
        <v>4087</v>
      </c>
      <c r="AN48" s="360" t="str" cm="1">
        <f t="array" ref="AN48">IFERROR(_xlfn.IFS(AJ47=1,F47,AJ48=1,AO48&amp;CHAR(10)&amp;AP48,AJ63=1,"－"),"")</f>
        <v/>
      </c>
      <c r="AO48" s="74" t="str">
        <f>AQ48&amp;AR48</f>
        <v>【主たる居室】</v>
      </c>
      <c r="AP48" s="74" t="str">
        <f>AQ49&amp;AR49</f>
        <v>【その他の居室】</v>
      </c>
      <c r="AQ48" s="74" t="s">
        <v>4085</v>
      </c>
      <c r="AR48" s="74" t="str" cm="1">
        <f t="array" ref="AR48">IFERROR(_xlfn.IFS(AJ49=1,_xlfn.IFS(AJ51=1,AK51,AJ52=1,AK52,AJ53=1,AK53),AJ54=1,G54,AJ55=1,G55),"")</f>
        <v/>
      </c>
      <c r="AS48" s="75"/>
      <c r="AT48" s="196" t="s">
        <v>4087</v>
      </c>
      <c r="AU48" s="371" t="str">
        <f>AN48</f>
        <v/>
      </c>
    </row>
    <row r="49" spans="2:56" s="13" customFormat="1" ht="30" customHeight="1">
      <c r="B49" s="236"/>
      <c r="C49" s="229"/>
      <c r="D49" s="232"/>
      <c r="E49" s="16" t="s">
        <v>4083</v>
      </c>
      <c r="F49" s="359"/>
      <c r="G49" s="16" t="s">
        <v>21</v>
      </c>
      <c r="H49" s="16"/>
      <c r="I49" s="16"/>
      <c r="J49" s="16"/>
      <c r="K49" s="16"/>
      <c r="L49" s="16"/>
      <c r="M49" s="16"/>
      <c r="N49" s="16"/>
      <c r="AC49" s="230"/>
      <c r="AE49" s="384"/>
      <c r="AF49" s="222" t="b">
        <v>0</v>
      </c>
      <c r="AG49" s="383"/>
      <c r="AH49" s="1"/>
      <c r="AI49" s="248"/>
      <c r="AJ49" s="223">
        <f>N(AF49)</f>
        <v>0</v>
      </c>
      <c r="AL49" s="1"/>
      <c r="AQ49" s="74" t="s">
        <v>4086</v>
      </c>
      <c r="AR49" s="74" t="str" cm="1">
        <f t="array" ref="AR49">IFERROR(_xlfn.IFS(AJ56=1,_xlfn.IFS(AJ58=1,AK58,AJ59=1,AK59,AJ60=1,AK60),AJ61=1,G61,AJ62=1,G62),"")</f>
        <v/>
      </c>
      <c r="AS49" s="75"/>
      <c r="AT49" s="75" t="s">
        <v>3991</v>
      </c>
      <c r="AU49" s="371" t="str">
        <f>IF(D64="",IF(OR(AJ63=1,AND(AJ55=1,AJ62=1)),"－",""),D64)</f>
        <v/>
      </c>
    </row>
    <row r="50" spans="2:56" s="13" customFormat="1" ht="30" customHeight="1">
      <c r="B50" s="236"/>
      <c r="C50" s="229"/>
      <c r="D50" s="232"/>
      <c r="F50" s="232"/>
      <c r="G50" s="232" t="s">
        <v>24</v>
      </c>
      <c r="H50" s="232"/>
      <c r="I50" s="232"/>
      <c r="J50" s="232"/>
      <c r="K50" s="232"/>
      <c r="L50" s="20"/>
      <c r="M50" s="20"/>
      <c r="N50" s="20"/>
      <c r="AC50" s="230"/>
      <c r="AE50" s="384"/>
      <c r="AF50" s="385"/>
      <c r="AG50" s="383"/>
      <c r="AH50" s="1"/>
      <c r="AI50" s="248"/>
      <c r="AJ50" s="240"/>
      <c r="AL50" s="1"/>
      <c r="AS50" s="75" t="s">
        <v>46</v>
      </c>
      <c r="AT50" s="75" t="s">
        <v>4042</v>
      </c>
      <c r="AU50" s="371" t="str">
        <f>AN65</f>
        <v/>
      </c>
    </row>
    <row r="51" spans="2:56" s="13" customFormat="1" ht="30" customHeight="1">
      <c r="B51" s="234"/>
      <c r="C51" s="229"/>
      <c r="D51" s="232"/>
      <c r="F51" s="232"/>
      <c r="G51" s="232"/>
      <c r="H51" s="18" t="s">
        <v>36</v>
      </c>
      <c r="I51" s="18"/>
      <c r="J51" s="18"/>
      <c r="K51" s="18"/>
      <c r="L51" s="18"/>
      <c r="M51" s="18"/>
      <c r="N51" s="18"/>
      <c r="AE51" s="384"/>
      <c r="AF51" s="385"/>
      <c r="AG51" s="241" t="b">
        <v>0</v>
      </c>
      <c r="AH51" s="1"/>
      <c r="AI51" s="248"/>
      <c r="AJ51" s="223">
        <f>N(AG51)</f>
        <v>0</v>
      </c>
      <c r="AK51" s="357" t="s">
        <v>4088</v>
      </c>
      <c r="AL51" s="358"/>
      <c r="AM51" s="358"/>
      <c r="AN51" s="358" t="str" cm="1">
        <f t="array" ref="AN51">IFERROR(_xlfn.IFS(AJ49=1,_xlfn.IFS(AJ51=1,AK51,AJ52=1,AK52,AJ53=1,AK53),AJ54=1,G54),"")</f>
        <v/>
      </c>
      <c r="AO51" s="358"/>
      <c r="AP51" s="358"/>
      <c r="AQ51" s="358"/>
      <c r="AR51" s="358"/>
      <c r="AS51" s="75"/>
      <c r="AT51" s="196" t="s">
        <v>4087</v>
      </c>
      <c r="AU51" s="371" t="str">
        <f>AN66</f>
        <v/>
      </c>
      <c r="AV51" s="358"/>
      <c r="AW51" s="358"/>
      <c r="AX51" s="358"/>
      <c r="AY51" s="358"/>
      <c r="AZ51" s="358"/>
      <c r="BA51" s="358"/>
      <c r="BB51" s="358"/>
      <c r="BC51" s="358"/>
      <c r="BD51" s="358"/>
    </row>
    <row r="52" spans="2:56" s="13" customFormat="1" ht="30" customHeight="1">
      <c r="B52" s="238"/>
      <c r="C52" s="229"/>
      <c r="D52" s="232"/>
      <c r="F52" s="232"/>
      <c r="G52" s="232"/>
      <c r="H52" s="18" t="s">
        <v>37</v>
      </c>
      <c r="I52" s="18"/>
      <c r="J52" s="18"/>
      <c r="K52" s="18"/>
      <c r="L52" s="18"/>
      <c r="M52" s="18"/>
      <c r="N52" s="18"/>
      <c r="AE52" s="384"/>
      <c r="AF52" s="385"/>
      <c r="AG52" s="242" t="b">
        <v>0</v>
      </c>
      <c r="AH52" s="1"/>
      <c r="AI52" s="248"/>
      <c r="AJ52" s="223">
        <f>N(AG52)</f>
        <v>0</v>
      </c>
      <c r="AK52" s="357" t="s">
        <v>4089</v>
      </c>
      <c r="AL52" s="358"/>
      <c r="AM52" s="358"/>
      <c r="AN52" s="358"/>
      <c r="AO52" s="358"/>
      <c r="AP52" s="358"/>
      <c r="AQ52" s="358"/>
      <c r="AR52" s="358"/>
      <c r="AS52" s="75"/>
      <c r="AT52" s="75" t="s">
        <v>3991</v>
      </c>
      <c r="AU52" s="371" t="str">
        <f>IF(D72="",IF(OR(AJ71=1,AND(AJ68=1,AJ70=1)),"－",""),D72)</f>
        <v/>
      </c>
      <c r="AV52" s="358"/>
      <c r="AW52" s="358"/>
      <c r="AX52" s="358"/>
      <c r="AY52" s="358"/>
      <c r="AZ52" s="358"/>
      <c r="BA52" s="358"/>
      <c r="BB52" s="358"/>
      <c r="BC52" s="358"/>
      <c r="BD52" s="358"/>
    </row>
    <row r="53" spans="2:56" s="13" customFormat="1" ht="30" customHeight="1">
      <c r="B53" s="236"/>
      <c r="C53" s="229"/>
      <c r="D53" s="232"/>
      <c r="F53" s="232"/>
      <c r="G53" s="232"/>
      <c r="H53" s="16" t="s">
        <v>23</v>
      </c>
      <c r="I53" s="16"/>
      <c r="J53" s="16"/>
      <c r="K53" s="16"/>
      <c r="L53" s="18"/>
      <c r="M53" s="18"/>
      <c r="N53" s="18"/>
      <c r="AE53" s="384"/>
      <c r="AF53" s="385"/>
      <c r="AG53" s="243" t="b">
        <v>0</v>
      </c>
      <c r="AH53" s="1"/>
      <c r="AI53" s="248"/>
      <c r="AJ53" s="223">
        <f>N(AG53)</f>
        <v>0</v>
      </c>
      <c r="AK53" s="357" t="s">
        <v>4090</v>
      </c>
      <c r="AL53" s="358"/>
      <c r="AM53" s="358"/>
      <c r="AN53" s="358"/>
      <c r="AO53" s="358"/>
      <c r="AP53" s="358"/>
      <c r="AQ53" s="358"/>
      <c r="AR53" s="358"/>
      <c r="AS53" s="75" t="s">
        <v>47</v>
      </c>
      <c r="AT53" s="75" t="s">
        <v>48</v>
      </c>
      <c r="AU53" s="381" t="str">
        <f>AN73</f>
        <v/>
      </c>
      <c r="AV53" s="358"/>
      <c r="AW53" s="358"/>
      <c r="AX53" s="358"/>
      <c r="AY53" s="358"/>
      <c r="AZ53" s="358"/>
      <c r="BA53" s="358"/>
      <c r="BB53" s="358"/>
      <c r="BC53" s="358"/>
      <c r="BD53" s="358"/>
    </row>
    <row r="54" spans="2:56" s="13" customFormat="1" ht="30" customHeight="1">
      <c r="B54" s="234" t="s">
        <v>3977</v>
      </c>
      <c r="C54" s="229"/>
      <c r="D54" s="232"/>
      <c r="F54" s="232"/>
      <c r="G54" s="18" t="s">
        <v>3968</v>
      </c>
      <c r="H54" s="18"/>
      <c r="I54" s="18"/>
      <c r="J54" s="18"/>
      <c r="K54" s="18"/>
      <c r="L54" s="18"/>
      <c r="M54" s="18"/>
      <c r="N54" s="18"/>
      <c r="AE54" s="384"/>
      <c r="AF54" s="242" t="b">
        <v>0</v>
      </c>
      <c r="AG54" s="383"/>
      <c r="AH54" s="1"/>
      <c r="AI54" s="248"/>
      <c r="AJ54" s="223">
        <f>N(AF54)</f>
        <v>0</v>
      </c>
      <c r="AL54" s="1"/>
      <c r="AS54" s="75"/>
      <c r="AT54" s="75" t="s">
        <v>3991</v>
      </c>
      <c r="AU54" s="371" t="str">
        <f>IF(D77="","",D77)</f>
        <v/>
      </c>
    </row>
    <row r="55" spans="2:56" s="13" customFormat="1" ht="30" customHeight="1">
      <c r="B55" s="361"/>
      <c r="C55" s="229"/>
      <c r="D55" s="232"/>
      <c r="F55" s="20"/>
      <c r="G55" s="430" t="s">
        <v>4283</v>
      </c>
      <c r="H55" s="16"/>
      <c r="I55" s="16"/>
      <c r="J55" s="16"/>
      <c r="K55" s="16"/>
      <c r="L55" s="16"/>
      <c r="M55" s="16"/>
      <c r="N55" s="16"/>
      <c r="AE55" s="384"/>
      <c r="AF55" s="242" t="b">
        <v>0</v>
      </c>
      <c r="AG55" s="383"/>
      <c r="AH55" s="1"/>
      <c r="AI55" s="248"/>
      <c r="AJ55" s="223">
        <f>N(AF55)</f>
        <v>0</v>
      </c>
      <c r="AK55" s="357" t="s">
        <v>4164</v>
      </c>
      <c r="AL55" s="1"/>
      <c r="AS55" s="75" t="s">
        <v>49</v>
      </c>
      <c r="AT55" s="75" t="s">
        <v>50</v>
      </c>
      <c r="AU55" s="381" t="str">
        <f>AN78</f>
        <v/>
      </c>
    </row>
    <row r="56" spans="2:56" s="13" customFormat="1" ht="30" customHeight="1">
      <c r="B56" s="238" t="s">
        <v>27</v>
      </c>
      <c r="C56" s="229"/>
      <c r="D56" s="232"/>
      <c r="E56" s="16" t="s">
        <v>4084</v>
      </c>
      <c r="F56" s="359"/>
      <c r="G56" s="16" t="s">
        <v>21</v>
      </c>
      <c r="H56" s="16"/>
      <c r="I56" s="16"/>
      <c r="J56" s="16"/>
      <c r="K56" s="16"/>
      <c r="L56" s="16"/>
      <c r="M56" s="16"/>
      <c r="N56" s="16"/>
      <c r="AC56" s="230"/>
      <c r="AE56" s="384"/>
      <c r="AF56" s="222" t="b">
        <v>0</v>
      </c>
      <c r="AG56" s="383"/>
      <c r="AH56" s="1"/>
      <c r="AI56" s="248"/>
      <c r="AJ56" s="223">
        <f>N(AF56)</f>
        <v>0</v>
      </c>
      <c r="AL56" s="1"/>
      <c r="AS56" s="75"/>
      <c r="AT56" s="75" t="s">
        <v>3991</v>
      </c>
      <c r="AU56" s="371" t="str">
        <f>IF(D82="",IF(AJ81=1,"－",""),D82)</f>
        <v/>
      </c>
    </row>
    <row r="57" spans="2:56" s="13" customFormat="1" ht="30" customHeight="1">
      <c r="B57" s="238"/>
      <c r="C57" s="229"/>
      <c r="D57" s="232"/>
      <c r="F57" s="232"/>
      <c r="G57" s="232" t="s">
        <v>24</v>
      </c>
      <c r="H57" s="232"/>
      <c r="I57" s="232"/>
      <c r="J57" s="232"/>
      <c r="K57" s="232"/>
      <c r="L57" s="20"/>
      <c r="M57" s="20"/>
      <c r="N57" s="20"/>
      <c r="AC57" s="230"/>
      <c r="AE57" s="384"/>
      <c r="AF57" s="385"/>
      <c r="AG57" s="383"/>
      <c r="AH57" s="1"/>
      <c r="AI57" s="248"/>
      <c r="AJ57" s="240"/>
      <c r="AL57" s="1"/>
      <c r="AS57" s="75" t="s">
        <v>3967</v>
      </c>
      <c r="AT57" s="75" t="s">
        <v>51</v>
      </c>
      <c r="AU57" s="381" t="str">
        <f>AN83</f>
        <v/>
      </c>
    </row>
    <row r="58" spans="2:56" s="13" customFormat="1" ht="30" customHeight="1">
      <c r="B58" s="234"/>
      <c r="C58" s="229"/>
      <c r="D58" s="232"/>
      <c r="F58" s="232"/>
      <c r="G58" s="232"/>
      <c r="H58" s="18" t="s">
        <v>36</v>
      </c>
      <c r="I58" s="18"/>
      <c r="J58" s="18"/>
      <c r="K58" s="18"/>
      <c r="L58" s="18"/>
      <c r="M58" s="18"/>
      <c r="N58" s="18"/>
      <c r="AE58" s="384"/>
      <c r="AF58" s="385"/>
      <c r="AG58" s="241" t="b">
        <v>0</v>
      </c>
      <c r="AH58" s="1"/>
      <c r="AI58" s="248"/>
      <c r="AJ58" s="223">
        <f>N(AG58)</f>
        <v>0</v>
      </c>
      <c r="AK58" s="357" t="s">
        <v>4088</v>
      </c>
      <c r="AL58" s="358"/>
      <c r="AM58" s="358"/>
      <c r="AN58" s="358"/>
      <c r="AO58" s="358"/>
      <c r="AP58" s="358"/>
      <c r="AS58" s="75"/>
      <c r="AT58" s="75" t="s">
        <v>3991</v>
      </c>
      <c r="AU58" s="371" t="str">
        <f>IF(D85="",IF(AJ84=1,"－",""),D85)</f>
        <v/>
      </c>
    </row>
    <row r="59" spans="2:56" s="13" customFormat="1" ht="30" customHeight="1">
      <c r="B59" s="238"/>
      <c r="C59" s="229"/>
      <c r="D59" s="232"/>
      <c r="F59" s="232"/>
      <c r="G59" s="232"/>
      <c r="H59" s="18" t="s">
        <v>37</v>
      </c>
      <c r="I59" s="18"/>
      <c r="J59" s="18"/>
      <c r="K59" s="18"/>
      <c r="L59" s="18"/>
      <c r="M59" s="18"/>
      <c r="N59" s="18"/>
      <c r="AE59" s="384"/>
      <c r="AF59" s="385"/>
      <c r="AG59" s="242" t="b">
        <v>0</v>
      </c>
      <c r="AH59" s="1"/>
      <c r="AI59" s="248"/>
      <c r="AJ59" s="223">
        <f>N(AG59)</f>
        <v>0</v>
      </c>
      <c r="AK59" s="357" t="s">
        <v>4089</v>
      </c>
      <c r="AL59" s="358"/>
      <c r="AM59" s="358"/>
      <c r="AN59" s="358"/>
      <c r="AO59" s="358"/>
      <c r="AP59" s="358"/>
    </row>
    <row r="60" spans="2:56" s="13" customFormat="1" ht="30" customHeight="1">
      <c r="B60" s="236"/>
      <c r="C60" s="229"/>
      <c r="D60" s="232"/>
      <c r="F60" s="232"/>
      <c r="G60" s="232"/>
      <c r="H60" s="16" t="s">
        <v>23</v>
      </c>
      <c r="I60" s="16"/>
      <c r="J60" s="16"/>
      <c r="K60" s="16"/>
      <c r="L60" s="18"/>
      <c r="M60" s="18"/>
      <c r="N60" s="18"/>
      <c r="AE60" s="384"/>
      <c r="AF60" s="385"/>
      <c r="AG60" s="243" t="b">
        <v>0</v>
      </c>
      <c r="AH60" s="1"/>
      <c r="AI60" s="248"/>
      <c r="AJ60" s="223">
        <f>N(AG60)</f>
        <v>0</v>
      </c>
      <c r="AK60" s="357" t="s">
        <v>4090</v>
      </c>
      <c r="AL60" s="358"/>
      <c r="AM60" s="358"/>
      <c r="AN60" s="358"/>
      <c r="AO60" s="358"/>
      <c r="AP60" s="358"/>
    </row>
    <row r="61" spans="2:56" s="13" customFormat="1" ht="30" customHeight="1">
      <c r="B61" s="236"/>
      <c r="C61" s="229"/>
      <c r="D61" s="232"/>
      <c r="F61" s="232"/>
      <c r="G61" s="18" t="s">
        <v>3968</v>
      </c>
      <c r="H61" s="18"/>
      <c r="I61" s="18"/>
      <c r="J61" s="18"/>
      <c r="K61" s="18"/>
      <c r="L61" s="18"/>
      <c r="M61" s="18"/>
      <c r="N61" s="18"/>
      <c r="AE61" s="384"/>
      <c r="AF61" s="242" t="b">
        <v>0</v>
      </c>
      <c r="AG61" s="383"/>
      <c r="AH61" s="1"/>
      <c r="AI61" s="248"/>
      <c r="AJ61" s="223">
        <f>N(AF61)</f>
        <v>0</v>
      </c>
      <c r="AL61" s="1"/>
    </row>
    <row r="62" spans="2:56" s="13" customFormat="1" ht="30" customHeight="1">
      <c r="B62" s="361"/>
      <c r="C62" s="229"/>
      <c r="D62" s="20"/>
      <c r="E62" s="362"/>
      <c r="F62" s="20"/>
      <c r="G62" s="212" t="s">
        <v>4283</v>
      </c>
      <c r="H62" s="18"/>
      <c r="I62" s="18"/>
      <c r="J62" s="18"/>
      <c r="K62" s="18"/>
      <c r="L62" s="16"/>
      <c r="M62" s="16"/>
      <c r="N62" s="16"/>
      <c r="AE62" s="384"/>
      <c r="AF62" s="243" t="b">
        <v>0</v>
      </c>
      <c r="AG62" s="383"/>
      <c r="AH62" s="1"/>
      <c r="AI62" s="248"/>
      <c r="AJ62" s="223">
        <f>N(AF62)</f>
        <v>0</v>
      </c>
      <c r="AK62" s="357" t="s">
        <v>4164</v>
      </c>
      <c r="AL62" s="1"/>
    </row>
    <row r="63" spans="2:56" ht="30" customHeight="1">
      <c r="B63" s="236"/>
      <c r="C63" s="15"/>
      <c r="D63" s="212" t="s">
        <v>4282</v>
      </c>
      <c r="E63" s="18"/>
      <c r="F63" s="20"/>
      <c r="G63" s="20"/>
      <c r="H63" s="20"/>
      <c r="I63" s="20"/>
      <c r="J63" s="20"/>
      <c r="K63" s="20"/>
      <c r="L63" s="18"/>
      <c r="M63" s="18"/>
      <c r="N63" s="18"/>
      <c r="AE63" s="243" t="b">
        <v>0</v>
      </c>
      <c r="AF63" s="383"/>
      <c r="AG63" s="383"/>
      <c r="AI63" s="248"/>
      <c r="AJ63" s="224">
        <f>N(AE63)</f>
        <v>0</v>
      </c>
      <c r="AK63" s="357" t="s">
        <v>4164</v>
      </c>
      <c r="AM63" s="13"/>
      <c r="AN63" s="13"/>
      <c r="AO63" s="13"/>
      <c r="AP63" s="13"/>
    </row>
    <row r="64" spans="2:56" ht="48" customHeight="1">
      <c r="B64" s="237"/>
      <c r="C64" s="252" t="s">
        <v>3992</v>
      </c>
      <c r="D64" s="442"/>
      <c r="E64" s="442"/>
      <c r="F64" s="442"/>
      <c r="G64" s="442"/>
      <c r="H64" s="442"/>
      <c r="I64" s="442"/>
      <c r="J64" s="442"/>
      <c r="K64" s="442"/>
      <c r="L64" s="442"/>
      <c r="M64" s="442"/>
      <c r="N64" s="442"/>
      <c r="AE64" s="242"/>
      <c r="AF64" s="383"/>
      <c r="AG64" s="383"/>
      <c r="AI64" s="193"/>
      <c r="AJ64" s="224"/>
    </row>
    <row r="65" spans="2:44" ht="30" customHeight="1">
      <c r="B65" s="235"/>
      <c r="C65" s="14"/>
      <c r="D65" s="232" t="s">
        <v>4074</v>
      </c>
      <c r="E65" s="232"/>
      <c r="F65" s="232" t="s">
        <v>22</v>
      </c>
      <c r="G65" s="232"/>
      <c r="H65" s="232"/>
      <c r="I65" s="232"/>
      <c r="J65" s="232"/>
      <c r="K65" s="232"/>
      <c r="L65" s="18"/>
      <c r="M65" s="18"/>
      <c r="N65" s="18"/>
      <c r="AE65" s="241" t="b">
        <v>0</v>
      </c>
      <c r="AF65" s="383"/>
      <c r="AG65" s="383"/>
      <c r="AI65" s="193"/>
      <c r="AJ65" s="222">
        <f>N(AE65)</f>
        <v>0</v>
      </c>
      <c r="AK65" s="74" t="s">
        <v>4051</v>
      </c>
      <c r="AM65" s="196" t="s">
        <v>4054</v>
      </c>
      <c r="AN65" s="360" t="str" cm="1">
        <f t="array" ref="AN65">IFERROR(_xlfn.IFS(AJ65=1,AK65,AJ66=1,AK66,AJ71=1,D71),"")</f>
        <v/>
      </c>
      <c r="AO65" s="365" cm="1">
        <f t="array" ref="AO65">IFERROR(_xlfn.IFS(AJ65=1,0,AJ66=1,IF(AND(AO66=0,AO67=0),0,1),AJ71=1,0),1)</f>
        <v>1</v>
      </c>
      <c r="AQ65" s="74" t="s">
        <v>4083</v>
      </c>
      <c r="AR65" s="74" t="str" cm="1">
        <f t="array" ref="AR65">IFERROR(IF(AJ66=1,_xlfn.IFS(AJ67=1,G67,AJ68=1,G68),""),"")</f>
        <v/>
      </c>
    </row>
    <row r="66" spans="2:44" ht="30" customHeight="1">
      <c r="B66" s="234"/>
      <c r="C66" s="15"/>
      <c r="D66" s="18" t="s">
        <v>4075</v>
      </c>
      <c r="E66" s="18"/>
      <c r="F66" s="18"/>
      <c r="G66" s="18"/>
      <c r="H66" s="18"/>
      <c r="I66" s="18"/>
      <c r="J66" s="18"/>
      <c r="K66" s="18"/>
      <c r="L66" s="18"/>
      <c r="M66" s="18"/>
      <c r="N66" s="18"/>
      <c r="AE66" s="223" t="b">
        <v>0</v>
      </c>
      <c r="AF66" s="383"/>
      <c r="AG66" s="383"/>
      <c r="AI66" s="247" t="s">
        <v>3980</v>
      </c>
      <c r="AJ66" s="223">
        <f>N(AE66)</f>
        <v>0</v>
      </c>
      <c r="AK66" s="74" t="s">
        <v>4052</v>
      </c>
      <c r="AM66" s="196" t="s">
        <v>4087</v>
      </c>
      <c r="AN66" s="360" t="str" cm="1">
        <f t="array" ref="AN66">IFERROR(_xlfn.IFS(AJ65=1,F65,AJ66=1,AQ65&amp;AR65&amp;CHAR(10)&amp;AQ66&amp;AR66,AJ71=1,"－"),"")</f>
        <v/>
      </c>
      <c r="AO66" s="213">
        <f>IF(OR(AJ67=1,AJ68=1),0,1)</f>
        <v>1</v>
      </c>
      <c r="AQ66" s="74" t="s">
        <v>4084</v>
      </c>
      <c r="AR66" s="74" t="str" cm="1">
        <f t="array" ref="AR66">IFERROR(IF(AJ66=1,_xlfn.IFS(AJ69=1,G69,AJ70=1,G70),""),"")</f>
        <v/>
      </c>
    </row>
    <row r="67" spans="2:44" ht="30" customHeight="1">
      <c r="B67" s="361"/>
      <c r="C67" s="15"/>
      <c r="D67" s="232"/>
      <c r="E67" s="232" t="s">
        <v>4083</v>
      </c>
      <c r="F67" s="232"/>
      <c r="G67" s="18" t="s">
        <v>3968</v>
      </c>
      <c r="H67" s="18"/>
      <c r="I67" s="18"/>
      <c r="J67" s="18"/>
      <c r="K67" s="18"/>
      <c r="L67" s="18"/>
      <c r="M67" s="18"/>
      <c r="N67" s="18"/>
      <c r="AE67" s="223"/>
      <c r="AF67" s="386" t="b">
        <v>0</v>
      </c>
      <c r="AG67" s="383"/>
      <c r="AI67" s="247"/>
      <c r="AJ67" s="223">
        <f>N(AF67)</f>
        <v>0</v>
      </c>
      <c r="AK67" s="74"/>
      <c r="AM67" s="196"/>
      <c r="AN67" s="74"/>
      <c r="AO67" s="213">
        <f>IF(OR(AJ69=1,AJ70=1),0,1)</f>
        <v>1</v>
      </c>
    </row>
    <row r="68" spans="2:44" ht="30" customHeight="1">
      <c r="B68" s="234" t="s">
        <v>3978</v>
      </c>
      <c r="C68" s="15"/>
      <c r="D68" s="232"/>
      <c r="E68" s="232"/>
      <c r="F68" s="232"/>
      <c r="G68" s="18" t="s">
        <v>4094</v>
      </c>
      <c r="H68" s="18"/>
      <c r="I68" s="18"/>
      <c r="J68" s="18"/>
      <c r="K68" s="18"/>
      <c r="L68" s="18"/>
      <c r="M68" s="18"/>
      <c r="N68" s="18"/>
      <c r="AE68" s="223"/>
      <c r="AF68" s="387" t="b">
        <v>0</v>
      </c>
      <c r="AG68" s="383"/>
      <c r="AI68" s="247"/>
      <c r="AJ68" s="223">
        <f>N(AF68)</f>
        <v>0</v>
      </c>
      <c r="AK68" s="357" t="s">
        <v>4164</v>
      </c>
      <c r="AM68" s="196"/>
      <c r="AN68" s="74"/>
    </row>
    <row r="69" spans="2:44" ht="30" customHeight="1">
      <c r="B69" s="238" t="s">
        <v>27</v>
      </c>
      <c r="C69" s="15"/>
      <c r="D69" s="232"/>
      <c r="E69" s="16" t="s">
        <v>4084</v>
      </c>
      <c r="F69" s="16"/>
      <c r="G69" s="18" t="s">
        <v>3968</v>
      </c>
      <c r="H69" s="18"/>
      <c r="I69" s="18"/>
      <c r="J69" s="18"/>
      <c r="K69" s="18"/>
      <c r="L69" s="18"/>
      <c r="M69" s="18"/>
      <c r="N69" s="18"/>
      <c r="AE69" s="223"/>
      <c r="AF69" s="387" t="b">
        <v>0</v>
      </c>
      <c r="AG69" s="383"/>
      <c r="AI69" s="247"/>
      <c r="AJ69" s="223">
        <f>N(AF69)</f>
        <v>0</v>
      </c>
      <c r="AK69" s="74"/>
      <c r="AM69" s="196"/>
      <c r="AN69" s="74"/>
    </row>
    <row r="70" spans="2:44" ht="30" customHeight="1">
      <c r="B70" s="361"/>
      <c r="C70" s="15"/>
      <c r="D70" s="232"/>
      <c r="E70" s="232"/>
      <c r="F70" s="20"/>
      <c r="G70" s="18" t="s">
        <v>4094</v>
      </c>
      <c r="H70" s="18"/>
      <c r="I70" s="18"/>
      <c r="J70" s="18"/>
      <c r="K70" s="18"/>
      <c r="L70" s="18"/>
      <c r="M70" s="18"/>
      <c r="N70" s="18"/>
      <c r="AE70" s="223"/>
      <c r="AF70" s="388" t="b">
        <v>0</v>
      </c>
      <c r="AG70" s="383"/>
      <c r="AI70" s="247"/>
      <c r="AJ70" s="223">
        <f>N(AF70)</f>
        <v>0</v>
      </c>
      <c r="AK70" s="357" t="s">
        <v>4164</v>
      </c>
      <c r="AM70" s="196"/>
      <c r="AN70" s="74"/>
    </row>
    <row r="71" spans="2:44" ht="30" customHeight="1">
      <c r="B71" s="238"/>
      <c r="C71" s="15"/>
      <c r="D71" s="212" t="s">
        <v>4282</v>
      </c>
      <c r="E71" s="18"/>
      <c r="F71" s="18"/>
      <c r="G71" s="18"/>
      <c r="H71" s="18"/>
      <c r="I71" s="18"/>
      <c r="J71" s="18"/>
      <c r="K71" s="18"/>
      <c r="L71" s="18"/>
      <c r="M71" s="18"/>
      <c r="N71" s="18"/>
      <c r="AE71" s="243" t="b">
        <v>0</v>
      </c>
      <c r="AF71" s="383"/>
      <c r="AG71" s="383"/>
      <c r="AI71" s="193"/>
      <c r="AJ71" s="224">
        <f>N(AE71)</f>
        <v>0</v>
      </c>
      <c r="AK71" s="357" t="s">
        <v>4164</v>
      </c>
      <c r="AL71" s="74"/>
      <c r="AM71" s="13"/>
      <c r="AN71" s="13"/>
    </row>
    <row r="72" spans="2:44" ht="48" customHeight="1">
      <c r="B72" s="237"/>
      <c r="C72" s="252" t="s">
        <v>3992</v>
      </c>
      <c r="D72" s="442"/>
      <c r="E72" s="442"/>
      <c r="F72" s="442"/>
      <c r="G72" s="442"/>
      <c r="H72" s="442"/>
      <c r="I72" s="442"/>
      <c r="J72" s="442"/>
      <c r="K72" s="442"/>
      <c r="L72" s="442"/>
      <c r="M72" s="442"/>
      <c r="N72" s="442"/>
      <c r="AE72" s="242"/>
      <c r="AF72" s="383"/>
      <c r="AG72" s="383"/>
      <c r="AI72" s="193"/>
    </row>
    <row r="73" spans="2:44" ht="30" customHeight="1">
      <c r="B73" s="17"/>
      <c r="C73" s="14"/>
      <c r="D73" s="18" t="s">
        <v>492</v>
      </c>
      <c r="E73" s="18"/>
      <c r="F73" s="18"/>
      <c r="G73" s="18"/>
      <c r="H73" s="18"/>
      <c r="I73" s="18"/>
      <c r="J73" s="18"/>
      <c r="K73" s="18"/>
      <c r="L73" s="18"/>
      <c r="M73" s="18"/>
      <c r="N73" s="18"/>
      <c r="AE73" s="222" t="b">
        <v>0</v>
      </c>
      <c r="AF73" s="383"/>
      <c r="AG73" s="383"/>
      <c r="AI73" s="247" t="s">
        <v>3981</v>
      </c>
      <c r="AJ73" s="222">
        <f>N(AE73)</f>
        <v>0</v>
      </c>
      <c r="AM73" s="196" t="s">
        <v>4053</v>
      </c>
      <c r="AN73" s="360" t="str" cm="1">
        <f t="array" ref="AN73">IFERROR(_xlfn.IFS(AJ73=1,D73,AJ74=1,D74,AJ75=1,D75,AJ76=1,D76),"")</f>
        <v/>
      </c>
      <c r="AO73" s="365">
        <f>IF(SUM(AJ73:AJ76)=0,1,0)</f>
        <v>1</v>
      </c>
    </row>
    <row r="74" spans="2:44" ht="30" customHeight="1">
      <c r="B74" s="19"/>
      <c r="C74" s="15"/>
      <c r="D74" s="18" t="s">
        <v>26</v>
      </c>
      <c r="E74" s="18"/>
      <c r="F74" s="18"/>
      <c r="G74" s="18"/>
      <c r="H74" s="18"/>
      <c r="I74" s="18"/>
      <c r="J74" s="18"/>
      <c r="K74" s="18"/>
      <c r="L74" s="18"/>
      <c r="M74" s="18"/>
      <c r="N74" s="18"/>
      <c r="AE74" s="223" t="b">
        <v>0</v>
      </c>
      <c r="AF74" s="383"/>
      <c r="AG74" s="383"/>
      <c r="AJ74" s="223">
        <f>N(AE74)</f>
        <v>0</v>
      </c>
    </row>
    <row r="75" spans="2:44" ht="30" customHeight="1">
      <c r="B75" s="19" t="s">
        <v>25</v>
      </c>
      <c r="C75" s="15"/>
      <c r="D75" s="18" t="s">
        <v>3969</v>
      </c>
      <c r="E75" s="232"/>
      <c r="F75" s="232"/>
      <c r="G75" s="232"/>
      <c r="H75" s="232"/>
      <c r="I75" s="232"/>
      <c r="J75" s="232"/>
      <c r="K75" s="232"/>
      <c r="L75" s="18"/>
      <c r="M75" s="18"/>
      <c r="N75" s="18"/>
      <c r="AE75" s="223" t="b">
        <v>0</v>
      </c>
      <c r="AF75" s="383"/>
      <c r="AG75" s="383"/>
      <c r="AI75" s="193"/>
      <c r="AJ75" s="223">
        <f>N(AE75)</f>
        <v>0</v>
      </c>
    </row>
    <row r="76" spans="2:44" ht="30" customHeight="1">
      <c r="B76" s="238" t="s">
        <v>27</v>
      </c>
      <c r="C76" s="15"/>
      <c r="D76" s="20" t="s">
        <v>3970</v>
      </c>
      <c r="E76" s="18"/>
      <c r="F76" s="18"/>
      <c r="G76" s="18"/>
      <c r="H76" s="18"/>
      <c r="I76" s="18"/>
      <c r="J76" s="18"/>
      <c r="K76" s="18"/>
      <c r="L76" s="18"/>
      <c r="M76" s="18"/>
      <c r="N76" s="18"/>
      <c r="AE76" s="224" t="b">
        <v>0</v>
      </c>
      <c r="AF76" s="383"/>
      <c r="AG76" s="383"/>
      <c r="AI76" s="193"/>
      <c r="AJ76" s="224">
        <f>N(AE76)</f>
        <v>0</v>
      </c>
    </row>
    <row r="77" spans="2:44" ht="48" customHeight="1">
      <c r="B77" s="237"/>
      <c r="C77" s="253" t="s">
        <v>3992</v>
      </c>
      <c r="D77" s="442"/>
      <c r="E77" s="442"/>
      <c r="F77" s="442"/>
      <c r="G77" s="442"/>
      <c r="H77" s="442"/>
      <c r="I77" s="442"/>
      <c r="J77" s="442"/>
      <c r="K77" s="442"/>
      <c r="L77" s="442"/>
      <c r="M77" s="442"/>
      <c r="N77" s="442"/>
      <c r="AE77" s="242"/>
      <c r="AF77" s="383"/>
      <c r="AG77" s="383"/>
      <c r="AI77" s="193"/>
      <c r="AJ77" s="224"/>
    </row>
    <row r="78" spans="2:44" ht="30" customHeight="1">
      <c r="B78" s="17"/>
      <c r="C78" s="14"/>
      <c r="D78" s="212" t="s">
        <v>3953</v>
      </c>
      <c r="E78" s="18"/>
      <c r="F78" s="18"/>
      <c r="G78" s="18"/>
      <c r="H78" s="18"/>
      <c r="I78" s="18"/>
      <c r="J78" s="18"/>
      <c r="K78" s="18"/>
      <c r="L78" s="18"/>
      <c r="M78" s="18"/>
      <c r="N78" s="18"/>
      <c r="AE78" s="222" t="b">
        <v>0</v>
      </c>
      <c r="AF78" s="383"/>
      <c r="AG78" s="383"/>
      <c r="AI78" s="247" t="s">
        <v>3982</v>
      </c>
      <c r="AJ78" s="222">
        <f t="shared" ref="AJ78:AJ81" si="21">N(AE78)</f>
        <v>0</v>
      </c>
      <c r="AM78" s="196" t="s">
        <v>3982</v>
      </c>
      <c r="AN78" s="360" t="str" cm="1">
        <f t="array" ref="AN78">IFERROR(_xlfn.IFS(AJ78=1,D78,AJ79=1,D79,AJ80=1,D80,AJ81=1,D81),"")</f>
        <v/>
      </c>
      <c r="AO78" s="365">
        <f>IF(SUM(AJ78:AJ81)=0,1,0)</f>
        <v>1</v>
      </c>
    </row>
    <row r="79" spans="2:44" ht="30" customHeight="1">
      <c r="B79" s="19"/>
      <c r="C79" s="15"/>
      <c r="D79" s="212" t="s">
        <v>3954</v>
      </c>
      <c r="E79" s="232"/>
      <c r="F79" s="232"/>
      <c r="G79" s="232"/>
      <c r="H79" s="232"/>
      <c r="I79" s="232"/>
      <c r="J79" s="232"/>
      <c r="K79" s="232"/>
      <c r="L79" s="18"/>
      <c r="M79" s="18"/>
      <c r="N79" s="18"/>
      <c r="AE79" s="223" t="b">
        <v>0</v>
      </c>
      <c r="AF79" s="383"/>
      <c r="AG79" s="383"/>
      <c r="AJ79" s="223">
        <f t="shared" si="21"/>
        <v>0</v>
      </c>
    </row>
    <row r="80" spans="2:44" ht="30" customHeight="1">
      <c r="B80" s="19" t="s">
        <v>28</v>
      </c>
      <c r="C80" s="15"/>
      <c r="D80" s="18" t="s">
        <v>38</v>
      </c>
      <c r="E80" s="18"/>
      <c r="F80" s="18"/>
      <c r="G80" s="18"/>
      <c r="H80" s="18"/>
      <c r="I80" s="18"/>
      <c r="J80" s="18"/>
      <c r="K80" s="18"/>
      <c r="L80" s="18"/>
      <c r="M80" s="233"/>
      <c r="N80" s="233"/>
      <c r="O80" s="22"/>
      <c r="P80" s="22"/>
      <c r="AE80" s="223" t="b">
        <v>0</v>
      </c>
      <c r="AF80" s="383"/>
      <c r="AG80" s="383"/>
      <c r="AI80" s="193"/>
      <c r="AJ80" s="223">
        <f t="shared" si="21"/>
        <v>0</v>
      </c>
    </row>
    <row r="81" spans="2:41" ht="30" customHeight="1">
      <c r="B81" s="239" t="s">
        <v>27</v>
      </c>
      <c r="C81" s="15"/>
      <c r="D81" s="212" t="s">
        <v>4282</v>
      </c>
      <c r="E81" s="20"/>
      <c r="F81" s="18"/>
      <c r="G81" s="18"/>
      <c r="H81" s="18"/>
      <c r="I81" s="18"/>
      <c r="J81" s="18"/>
      <c r="K81" s="18"/>
      <c r="L81" s="18"/>
      <c r="M81" s="18"/>
      <c r="N81" s="18"/>
      <c r="AE81" s="224" t="b">
        <v>0</v>
      </c>
      <c r="AF81" s="383"/>
      <c r="AG81" s="383"/>
      <c r="AI81" s="193"/>
      <c r="AJ81" s="224">
        <f t="shared" si="21"/>
        <v>0</v>
      </c>
      <c r="AL81" s="74"/>
    </row>
    <row r="82" spans="2:41" ht="48" customHeight="1">
      <c r="B82" s="237"/>
      <c r="C82" s="253" t="s">
        <v>3992</v>
      </c>
      <c r="D82" s="442"/>
      <c r="E82" s="442"/>
      <c r="F82" s="442"/>
      <c r="G82" s="442"/>
      <c r="H82" s="442"/>
      <c r="I82" s="442"/>
      <c r="J82" s="442"/>
      <c r="K82" s="442"/>
      <c r="L82" s="442"/>
      <c r="M82" s="442"/>
      <c r="N82" s="442"/>
      <c r="AE82" s="242"/>
      <c r="AF82" s="383"/>
      <c r="AG82" s="383"/>
      <c r="AI82" s="193"/>
      <c r="AJ82" s="223"/>
    </row>
    <row r="83" spans="2:41" ht="30" customHeight="1">
      <c r="B83" s="443" t="s">
        <v>3984</v>
      </c>
      <c r="C83" s="15"/>
      <c r="D83" s="20" t="s">
        <v>3971</v>
      </c>
      <c r="E83" s="18"/>
      <c r="F83" s="18"/>
      <c r="G83" s="18"/>
      <c r="H83" s="18"/>
      <c r="I83" s="18"/>
      <c r="J83" s="18"/>
      <c r="K83" s="18"/>
      <c r="L83" s="18"/>
      <c r="M83" s="18"/>
      <c r="N83" s="18"/>
      <c r="AE83" s="222" t="b">
        <v>0</v>
      </c>
      <c r="AF83" s="383"/>
      <c r="AG83" s="383"/>
      <c r="AI83" s="247" t="s">
        <v>3983</v>
      </c>
      <c r="AJ83" s="222">
        <f>N(AE83)</f>
        <v>0</v>
      </c>
      <c r="AM83" s="196" t="s">
        <v>3983</v>
      </c>
      <c r="AN83" s="360" t="str" cm="1">
        <f t="array" ref="AN83">IFERROR(_xlfn.IFS(AJ83=1,D83,AJ84=1,D84),"")</f>
        <v/>
      </c>
      <c r="AO83" s="365">
        <f>IF(SUM(AJ83:AJ84)=0,1,0)</f>
        <v>1</v>
      </c>
    </row>
    <row r="84" spans="2:41" ht="30" customHeight="1">
      <c r="B84" s="444"/>
      <c r="C84" s="15"/>
      <c r="D84" s="212" t="s">
        <v>4282</v>
      </c>
      <c r="E84" s="18"/>
      <c r="F84" s="18"/>
      <c r="G84" s="18"/>
      <c r="H84" s="18"/>
      <c r="I84" s="18"/>
      <c r="J84" s="18"/>
      <c r="K84" s="18"/>
      <c r="L84" s="18"/>
      <c r="M84" s="18"/>
      <c r="N84" s="18"/>
      <c r="AE84" s="224" t="b">
        <v>0</v>
      </c>
      <c r="AF84" s="383"/>
      <c r="AG84" s="383"/>
      <c r="AI84" s="193"/>
      <c r="AJ84" s="224">
        <f>N(AE84)</f>
        <v>0</v>
      </c>
    </row>
    <row r="85" spans="2:41" ht="48" customHeight="1">
      <c r="B85" s="445"/>
      <c r="C85" s="253" t="s">
        <v>3992</v>
      </c>
      <c r="D85" s="442"/>
      <c r="E85" s="442"/>
      <c r="F85" s="442"/>
      <c r="G85" s="442"/>
      <c r="H85" s="442"/>
      <c r="I85" s="442"/>
      <c r="J85" s="442"/>
      <c r="K85" s="442"/>
      <c r="L85" s="442"/>
      <c r="M85" s="442"/>
      <c r="N85" s="442"/>
      <c r="AE85" s="242"/>
      <c r="AF85" s="383"/>
      <c r="AG85" s="383"/>
    </row>
    <row r="87" spans="2:41" ht="16.5">
      <c r="AM87" s="193"/>
      <c r="AN87" s="13"/>
      <c r="AO87" s="13"/>
    </row>
  </sheetData>
  <sheetProtection algorithmName="SHA-512" hashValue="Lp4UgfFiyBkWZfh+yHlaBwDHoCLd/nF6j1YM+0Agd/FToEtMRIXAipfBHt6kXrlLhnf6UGCCgsst885DAXLodA==" saltValue="khOwVY4dmTCuQXeenUnRzw==" spinCount="100000" sheet="1" formatCells="0" selectLockedCells="1"/>
  <mergeCells count="93">
    <mergeCell ref="K43:N43"/>
    <mergeCell ref="M26:M27"/>
    <mergeCell ref="L17:O17"/>
    <mergeCell ref="L18:O18"/>
    <mergeCell ref="L19:O19"/>
    <mergeCell ref="K24:L24"/>
    <mergeCell ref="O26:O27"/>
    <mergeCell ref="O40:P40"/>
    <mergeCell ref="K41:N41"/>
    <mergeCell ref="K30:L30"/>
    <mergeCell ref="P30:S30"/>
    <mergeCell ref="K29:L29"/>
    <mergeCell ref="K40:N40"/>
    <mergeCell ref="K42:N42"/>
    <mergeCell ref="P24:S24"/>
    <mergeCell ref="P31:S31"/>
    <mergeCell ref="H1:H3"/>
    <mergeCell ref="J2:J3"/>
    <mergeCell ref="K1:N3"/>
    <mergeCell ref="B1:G3"/>
    <mergeCell ref="R10:R11"/>
    <mergeCell ref="L10:O10"/>
    <mergeCell ref="L11:O11"/>
    <mergeCell ref="P9:Q10"/>
    <mergeCell ref="O1:P1"/>
    <mergeCell ref="O2:P3"/>
    <mergeCell ref="F9:G9"/>
    <mergeCell ref="I10:I11"/>
    <mergeCell ref="F8:G8"/>
    <mergeCell ref="L9:O9"/>
    <mergeCell ref="B10:B11"/>
    <mergeCell ref="E10:E11"/>
    <mergeCell ref="F15:G15"/>
    <mergeCell ref="F13:G13"/>
    <mergeCell ref="K38:N38"/>
    <mergeCell ref="G25:H25"/>
    <mergeCell ref="G26:H26"/>
    <mergeCell ref="F17:G17"/>
    <mergeCell ref="K25:L25"/>
    <mergeCell ref="K31:L31"/>
    <mergeCell ref="L12:O12"/>
    <mergeCell ref="L13:O13"/>
    <mergeCell ref="L14:O14"/>
    <mergeCell ref="L15:O15"/>
    <mergeCell ref="I1:I3"/>
    <mergeCell ref="V26:W26"/>
    <mergeCell ref="K26:L26"/>
    <mergeCell ref="L16:O16"/>
    <mergeCell ref="I24:J24"/>
    <mergeCell ref="C29:D29"/>
    <mergeCell ref="G24:H24"/>
    <mergeCell ref="F19:G19"/>
    <mergeCell ref="I29:J29"/>
    <mergeCell ref="I25:J25"/>
    <mergeCell ref="I26:J26"/>
    <mergeCell ref="T26:U26"/>
    <mergeCell ref="P25:S25"/>
    <mergeCell ref="P26:S26"/>
    <mergeCell ref="P28:S28"/>
    <mergeCell ref="P29:S29"/>
    <mergeCell ref="P27:S27"/>
    <mergeCell ref="D72:N72"/>
    <mergeCell ref="D77:N77"/>
    <mergeCell ref="F10:G11"/>
    <mergeCell ref="C26:D26"/>
    <mergeCell ref="C30:C31"/>
    <mergeCell ref="G31:H31"/>
    <mergeCell ref="F18:G18"/>
    <mergeCell ref="F16:G16"/>
    <mergeCell ref="H10:H11"/>
    <mergeCell ref="G29:H29"/>
    <mergeCell ref="G30:H30"/>
    <mergeCell ref="D64:N64"/>
    <mergeCell ref="D38:E38"/>
    <mergeCell ref="I30:J30"/>
    <mergeCell ref="F40:G40"/>
    <mergeCell ref="I31:J31"/>
    <mergeCell ref="D82:N82"/>
    <mergeCell ref="K39:N39"/>
    <mergeCell ref="B29:B31"/>
    <mergeCell ref="F14:G14"/>
    <mergeCell ref="B83:B85"/>
    <mergeCell ref="D43:E43"/>
    <mergeCell ref="H40:I40"/>
    <mergeCell ref="H43:I43"/>
    <mergeCell ref="H38:I38"/>
    <mergeCell ref="F39:G39"/>
    <mergeCell ref="H39:I39"/>
    <mergeCell ref="F38:G38"/>
    <mergeCell ref="F43:G43"/>
    <mergeCell ref="D85:N85"/>
    <mergeCell ref="D40:E40"/>
    <mergeCell ref="D39:E39"/>
  </mergeCells>
  <phoneticPr fontId="12"/>
  <conditionalFormatting sqref="D43:I43">
    <cfRule type="expression" dxfId="94" priority="70">
      <formula>$C43="直接入力"</formula>
    </cfRule>
  </conditionalFormatting>
  <conditionalFormatting sqref="J43">
    <cfRule type="expression" dxfId="93" priority="58">
      <formula>$C43="該当部位なし"</formula>
    </cfRule>
    <cfRule type="expression" dxfId="92" priority="67">
      <formula>$C43="枠と戸の組み合わせから入力"</formula>
    </cfRule>
  </conditionalFormatting>
  <conditionalFormatting sqref="J43">
    <cfRule type="expression" dxfId="91" priority="57">
      <formula>$D43="断熱材の種類から入力"</formula>
    </cfRule>
  </conditionalFormatting>
  <conditionalFormatting sqref="D47:N47">
    <cfRule type="expression" dxfId="90" priority="52">
      <formula>$AE$47=TRUE</formula>
    </cfRule>
  </conditionalFormatting>
  <conditionalFormatting sqref="D48:N48">
    <cfRule type="expression" dxfId="89" priority="51">
      <formula>$AE$48=TRUE</formula>
    </cfRule>
  </conditionalFormatting>
  <conditionalFormatting sqref="D63:N63 D64">
    <cfRule type="expression" dxfId="88" priority="50">
      <formula>$AE63=TRUE</formula>
    </cfRule>
  </conditionalFormatting>
  <conditionalFormatting sqref="G49:N49">
    <cfRule type="expression" dxfId="87" priority="49">
      <formula>$AF$49=TRUE</formula>
    </cfRule>
  </conditionalFormatting>
  <conditionalFormatting sqref="G54:N55 G61:N62">
    <cfRule type="expression" dxfId="86" priority="48">
      <formula>$AF54=TRUE</formula>
    </cfRule>
  </conditionalFormatting>
  <conditionalFormatting sqref="H51:N53">
    <cfRule type="expression" dxfId="85" priority="47">
      <formula>$AG51=TRUE</formula>
    </cfRule>
  </conditionalFormatting>
  <conditionalFormatting sqref="D73:N76 D78:N81 D83:N84">
    <cfRule type="expression" dxfId="84" priority="40">
      <formula>$AE73=TRUE</formula>
    </cfRule>
  </conditionalFormatting>
  <conditionalFormatting sqref="D72">
    <cfRule type="expression" dxfId="83" priority="27">
      <formula>$AE72=TRUE</formula>
    </cfRule>
  </conditionalFormatting>
  <conditionalFormatting sqref="D77">
    <cfRule type="expression" dxfId="82" priority="26">
      <formula>$AE77=TRUE</formula>
    </cfRule>
  </conditionalFormatting>
  <conditionalFormatting sqref="D82">
    <cfRule type="expression" dxfId="81" priority="25">
      <formula>$AE82=TRUE</formula>
    </cfRule>
  </conditionalFormatting>
  <conditionalFormatting sqref="D85">
    <cfRule type="expression" dxfId="80" priority="24">
      <formula>$AE85=TRUE</formula>
    </cfRule>
  </conditionalFormatting>
  <conditionalFormatting sqref="G56:N56">
    <cfRule type="expression" dxfId="79" priority="19">
      <formula>$AF$56=TRUE</formula>
    </cfRule>
  </conditionalFormatting>
  <conditionalFormatting sqref="H58:N60">
    <cfRule type="expression" dxfId="78" priority="18">
      <formula>$AG58=TRUE</formula>
    </cfRule>
  </conditionalFormatting>
  <conditionalFormatting sqref="D66:N66">
    <cfRule type="expression" dxfId="77" priority="17">
      <formula>$AE66=TRUE</formula>
    </cfRule>
  </conditionalFormatting>
  <conditionalFormatting sqref="D65:N65">
    <cfRule type="expression" dxfId="76" priority="16">
      <formula>$AE65=TRUE</formula>
    </cfRule>
  </conditionalFormatting>
  <conditionalFormatting sqref="D71:N71">
    <cfRule type="expression" dxfId="75" priority="15">
      <formula>$AE71=TRUE</formula>
    </cfRule>
  </conditionalFormatting>
  <conditionalFormatting sqref="G67:N67">
    <cfRule type="expression" dxfId="74" priority="14">
      <formula>$AF67=TRUE</formula>
    </cfRule>
  </conditionalFormatting>
  <conditionalFormatting sqref="G68:N70">
    <cfRule type="expression" dxfId="73" priority="13">
      <formula>$AF68=TRUE</formula>
    </cfRule>
  </conditionalFormatting>
  <conditionalFormatting sqref="F13:J19">
    <cfRule type="expression" dxfId="72" priority="11">
      <formula>$D13="直接入力"</formula>
    </cfRule>
  </conditionalFormatting>
  <conditionalFormatting sqref="K13:K19">
    <cfRule type="expression" dxfId="71" priority="10">
      <formula>$D13="断熱材の種類から入力"</formula>
    </cfRule>
  </conditionalFormatting>
  <conditionalFormatting sqref="G29:M31">
    <cfRule type="expression" dxfId="70" priority="8">
      <formula>$F29="直接入力"</formula>
    </cfRule>
  </conditionalFormatting>
  <conditionalFormatting sqref="N29:N31 O30:O31">
    <cfRule type="expression" dxfId="69" priority="7">
      <formula>$F29="建具とガラスの組み合わせから入力"</formula>
    </cfRule>
  </conditionalFormatting>
  <conditionalFormatting sqref="D13:Q19">
    <cfRule type="expression" dxfId="68" priority="6">
      <formula>$C13="該当部位なし"</formula>
    </cfRule>
  </conditionalFormatting>
  <conditionalFormatting sqref="F29:W31">
    <cfRule type="expression" dxfId="67" priority="5">
      <formula>$E29="なし"</formula>
    </cfRule>
  </conditionalFormatting>
  <conditionalFormatting sqref="P13:R19">
    <cfRule type="expression" dxfId="66" priority="3">
      <formula>$R13="不適"</formula>
    </cfRule>
  </conditionalFormatting>
  <conditionalFormatting sqref="T29:X31">
    <cfRule type="expression" dxfId="65" priority="2">
      <formula>$X29="不適"</formula>
    </cfRule>
  </conditionalFormatting>
  <conditionalFormatting sqref="O43:Q43">
    <cfRule type="expression" dxfId="64" priority="1">
      <formula>$Q$43="不適"</formula>
    </cfRule>
  </conditionalFormatting>
  <dataValidations count="5">
    <dataValidation type="list" allowBlank="1" showInputMessage="1" showErrorMessage="1" sqref="F43:G43 I29:J35" xr:uid="{E9F034C8-8CE0-4D08-9B35-1F50BD134A5B}">
      <formula1>INDIRECT(D29)</formula1>
    </dataValidation>
    <dataValidation type="list" allowBlank="1" showInputMessage="1" showErrorMessage="1" sqref="M30:M35 K29:K35" xr:uid="{B8EBF55F-5D76-4A64-B32A-F940BF96E0FE}">
      <formula1>INDIRECT(AE29)</formula1>
    </dataValidation>
    <dataValidation type="list" allowBlank="1" showInputMessage="1" showErrorMessage="1" sqref="H43:I43" xr:uid="{76DD9EDF-6D37-4567-90CD-C7B9DA909968}">
      <formula1>INDIRECT(AE43)</formula1>
    </dataValidation>
    <dataValidation type="list" allowBlank="1" showInputMessage="1" showErrorMessage="1" sqref="L29:L32" xr:uid="{BAD31240-8B3C-46D0-835E-D852C57E1E6A}">
      <formula1>INDIRECT(AF26)</formula1>
    </dataValidation>
    <dataValidation type="list" allowBlank="1" showInputMessage="1" showErrorMessage="1" sqref="L33:L35" xr:uid="{943D320A-2D45-4403-A0F1-073ABB8EE2CB}">
      <formula1>INDIRECT(AF31)</formula1>
    </dataValidation>
  </dataValidations>
  <pageMargins left="0.70866141732283472" right="0.70866141732283472" top="0.74803149606299213" bottom="0.74803149606299213" header="0.31496062992125984" footer="0.31496062992125984"/>
  <pageSetup paperSize="8" scale="33"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macro="[0]!Sheet4.地域567チェック1_Click">
                <anchor moveWithCells="1">
                  <from>
                    <xdr:col>2</xdr:col>
                    <xdr:colOff>647700</xdr:colOff>
                    <xdr:row>46</xdr:row>
                    <xdr:rowOff>19050</xdr:rowOff>
                  </from>
                  <to>
                    <xdr:col>3</xdr:col>
                    <xdr:colOff>66675</xdr:colOff>
                    <xdr:row>46</xdr:row>
                    <xdr:rowOff>371475</xdr:rowOff>
                  </to>
                </anchor>
              </controlPr>
            </control>
          </mc:Choice>
        </mc:AlternateContent>
        <mc:AlternateContent xmlns:mc="http://schemas.openxmlformats.org/markup-compatibility/2006">
          <mc:Choice Requires="x14">
            <control shapeId="20482" r:id="rId5" name="Check Box 2">
              <controlPr defaultSize="0" autoFill="0" autoLine="0" autoPict="0" macro="[0]!Sheet4.地域567チェック2_Click">
                <anchor moveWithCells="1">
                  <from>
                    <xdr:col>2</xdr:col>
                    <xdr:colOff>647700</xdr:colOff>
                    <xdr:row>46</xdr:row>
                    <xdr:rowOff>371475</xdr:rowOff>
                  </from>
                  <to>
                    <xdr:col>3</xdr:col>
                    <xdr:colOff>66675</xdr:colOff>
                    <xdr:row>47</xdr:row>
                    <xdr:rowOff>361950</xdr:rowOff>
                  </to>
                </anchor>
              </controlPr>
            </control>
          </mc:Choice>
        </mc:AlternateContent>
        <mc:AlternateContent xmlns:mc="http://schemas.openxmlformats.org/markup-compatibility/2006">
          <mc:Choice Requires="x14">
            <control shapeId="20484" r:id="rId6" name="Check Box 4">
              <controlPr defaultSize="0" autoFill="0" autoLine="0" autoPict="0" macro="[0]!Sheet4.地域567チェック4_Click">
                <anchor moveWithCells="1">
                  <from>
                    <xdr:col>5</xdr:col>
                    <xdr:colOff>676275</xdr:colOff>
                    <xdr:row>48</xdr:row>
                    <xdr:rowOff>9525</xdr:rowOff>
                  </from>
                  <to>
                    <xdr:col>6</xdr:col>
                    <xdr:colOff>76200</xdr:colOff>
                    <xdr:row>49</xdr:row>
                    <xdr:rowOff>0</xdr:rowOff>
                  </to>
                </anchor>
              </controlPr>
            </control>
          </mc:Choice>
        </mc:AlternateContent>
        <mc:AlternateContent xmlns:mc="http://schemas.openxmlformats.org/markup-compatibility/2006">
          <mc:Choice Requires="x14">
            <control shapeId="20485" r:id="rId7" name="Check Box 5">
              <controlPr defaultSize="0" autoFill="0" autoLine="0" autoPict="0" macro="[0]!Sheet4.地域567チェック5_Click">
                <anchor moveWithCells="1">
                  <from>
                    <xdr:col>5</xdr:col>
                    <xdr:colOff>676275</xdr:colOff>
                    <xdr:row>53</xdr:row>
                    <xdr:rowOff>9525</xdr:rowOff>
                  </from>
                  <to>
                    <xdr:col>6</xdr:col>
                    <xdr:colOff>76200</xdr:colOff>
                    <xdr:row>54</xdr:row>
                    <xdr:rowOff>0</xdr:rowOff>
                  </to>
                </anchor>
              </controlPr>
            </control>
          </mc:Choice>
        </mc:AlternateContent>
        <mc:AlternateContent xmlns:mc="http://schemas.openxmlformats.org/markup-compatibility/2006">
          <mc:Choice Requires="x14">
            <control shapeId="20487" r:id="rId8" name="Check Box 7">
              <controlPr defaultSize="0" autoFill="0" autoLine="0" autoPict="0" macro="[0]!Sheet4.地域567チェック7_Click">
                <anchor moveWithCells="1">
                  <from>
                    <xdr:col>6</xdr:col>
                    <xdr:colOff>714375</xdr:colOff>
                    <xdr:row>50</xdr:row>
                    <xdr:rowOff>9525</xdr:rowOff>
                  </from>
                  <to>
                    <xdr:col>7</xdr:col>
                    <xdr:colOff>123825</xdr:colOff>
                    <xdr:row>51</xdr:row>
                    <xdr:rowOff>0</xdr:rowOff>
                  </to>
                </anchor>
              </controlPr>
            </control>
          </mc:Choice>
        </mc:AlternateContent>
        <mc:AlternateContent xmlns:mc="http://schemas.openxmlformats.org/markup-compatibility/2006">
          <mc:Choice Requires="x14">
            <control shapeId="20488" r:id="rId9" name="Check Box 8">
              <controlPr defaultSize="0" autoFill="0" autoLine="0" autoPict="0" macro="[0]!Sheet4.地域567チェック8_Click">
                <anchor moveWithCells="1">
                  <from>
                    <xdr:col>6</xdr:col>
                    <xdr:colOff>723900</xdr:colOff>
                    <xdr:row>51</xdr:row>
                    <xdr:rowOff>9525</xdr:rowOff>
                  </from>
                  <to>
                    <xdr:col>7</xdr:col>
                    <xdr:colOff>114300</xdr:colOff>
                    <xdr:row>52</xdr:row>
                    <xdr:rowOff>0</xdr:rowOff>
                  </to>
                </anchor>
              </controlPr>
            </control>
          </mc:Choice>
        </mc:AlternateContent>
        <mc:AlternateContent xmlns:mc="http://schemas.openxmlformats.org/markup-compatibility/2006">
          <mc:Choice Requires="x14">
            <control shapeId="20489" r:id="rId10" name="Check Box 9">
              <controlPr defaultSize="0" autoFill="0" autoLine="0" autoPict="0" macro="[0]!Sheet4.地域567チェック9_Click">
                <anchor moveWithCells="1">
                  <from>
                    <xdr:col>6</xdr:col>
                    <xdr:colOff>723900</xdr:colOff>
                    <xdr:row>52</xdr:row>
                    <xdr:rowOff>9525</xdr:rowOff>
                  </from>
                  <to>
                    <xdr:col>7</xdr:col>
                    <xdr:colOff>114300</xdr:colOff>
                    <xdr:row>53</xdr:row>
                    <xdr:rowOff>0</xdr:rowOff>
                  </to>
                </anchor>
              </controlPr>
            </control>
          </mc:Choice>
        </mc:AlternateContent>
        <mc:AlternateContent xmlns:mc="http://schemas.openxmlformats.org/markup-compatibility/2006">
          <mc:Choice Requires="x14">
            <control shapeId="20490" r:id="rId11" name="Check Box 10">
              <controlPr defaultSize="0" autoFill="0" autoLine="0" autoPict="0" macro="[0]!Sheet4.地域567チェック10_Click">
                <anchor moveWithCells="1">
                  <from>
                    <xdr:col>2</xdr:col>
                    <xdr:colOff>638175</xdr:colOff>
                    <xdr:row>72</xdr:row>
                    <xdr:rowOff>9525</xdr:rowOff>
                  </from>
                  <to>
                    <xdr:col>3</xdr:col>
                    <xdr:colOff>47625</xdr:colOff>
                    <xdr:row>73</xdr:row>
                    <xdr:rowOff>0</xdr:rowOff>
                  </to>
                </anchor>
              </controlPr>
            </control>
          </mc:Choice>
        </mc:AlternateContent>
        <mc:AlternateContent xmlns:mc="http://schemas.openxmlformats.org/markup-compatibility/2006">
          <mc:Choice Requires="x14">
            <control shapeId="20491" r:id="rId12" name="Check Box 11">
              <controlPr defaultSize="0" autoFill="0" autoLine="0" autoPict="0" macro="[0]!Sheet4.地域567チェック11_Click">
                <anchor moveWithCells="1">
                  <from>
                    <xdr:col>2</xdr:col>
                    <xdr:colOff>638175</xdr:colOff>
                    <xdr:row>73</xdr:row>
                    <xdr:rowOff>9525</xdr:rowOff>
                  </from>
                  <to>
                    <xdr:col>3</xdr:col>
                    <xdr:colOff>47625</xdr:colOff>
                    <xdr:row>74</xdr:row>
                    <xdr:rowOff>0</xdr:rowOff>
                  </to>
                </anchor>
              </controlPr>
            </control>
          </mc:Choice>
        </mc:AlternateContent>
        <mc:AlternateContent xmlns:mc="http://schemas.openxmlformats.org/markup-compatibility/2006">
          <mc:Choice Requires="x14">
            <control shapeId="20492" r:id="rId13" name="Check Box 12">
              <controlPr defaultSize="0" autoFill="0" autoLine="0" autoPict="0" macro="[0]!Sheet4.地域567チェック12_Click">
                <anchor moveWithCells="1">
                  <from>
                    <xdr:col>2</xdr:col>
                    <xdr:colOff>638175</xdr:colOff>
                    <xdr:row>74</xdr:row>
                    <xdr:rowOff>9525</xdr:rowOff>
                  </from>
                  <to>
                    <xdr:col>3</xdr:col>
                    <xdr:colOff>47625</xdr:colOff>
                    <xdr:row>75</xdr:row>
                    <xdr:rowOff>0</xdr:rowOff>
                  </to>
                </anchor>
              </controlPr>
            </control>
          </mc:Choice>
        </mc:AlternateContent>
        <mc:AlternateContent xmlns:mc="http://schemas.openxmlformats.org/markup-compatibility/2006">
          <mc:Choice Requires="x14">
            <control shapeId="20493" r:id="rId14" name="Check Box 13">
              <controlPr defaultSize="0" autoFill="0" autoLine="0" autoPict="0" macro="[0]!Sheet4.地域567チェック13_Click">
                <anchor moveWithCells="1">
                  <from>
                    <xdr:col>2</xdr:col>
                    <xdr:colOff>638175</xdr:colOff>
                    <xdr:row>75</xdr:row>
                    <xdr:rowOff>9525</xdr:rowOff>
                  </from>
                  <to>
                    <xdr:col>3</xdr:col>
                    <xdr:colOff>47625</xdr:colOff>
                    <xdr:row>76</xdr:row>
                    <xdr:rowOff>0</xdr:rowOff>
                  </to>
                </anchor>
              </controlPr>
            </control>
          </mc:Choice>
        </mc:AlternateContent>
        <mc:AlternateContent xmlns:mc="http://schemas.openxmlformats.org/markup-compatibility/2006">
          <mc:Choice Requires="x14">
            <control shapeId="20494" r:id="rId15" name="Check Box 14">
              <controlPr defaultSize="0" autoFill="0" autoLine="0" autoPict="0" macro="[0]!Sheet4.地域567チェック14_Click">
                <anchor moveWithCells="1">
                  <from>
                    <xdr:col>2</xdr:col>
                    <xdr:colOff>638175</xdr:colOff>
                    <xdr:row>77</xdr:row>
                    <xdr:rowOff>9525</xdr:rowOff>
                  </from>
                  <to>
                    <xdr:col>3</xdr:col>
                    <xdr:colOff>47625</xdr:colOff>
                    <xdr:row>78</xdr:row>
                    <xdr:rowOff>0</xdr:rowOff>
                  </to>
                </anchor>
              </controlPr>
            </control>
          </mc:Choice>
        </mc:AlternateContent>
        <mc:AlternateContent xmlns:mc="http://schemas.openxmlformats.org/markup-compatibility/2006">
          <mc:Choice Requires="x14">
            <control shapeId="20495" r:id="rId16" name="Check Box 15">
              <controlPr defaultSize="0" autoFill="0" autoLine="0" autoPict="0" macro="[0]!Sheet4.地域567チェック15_Click">
                <anchor moveWithCells="1">
                  <from>
                    <xdr:col>2</xdr:col>
                    <xdr:colOff>638175</xdr:colOff>
                    <xdr:row>78</xdr:row>
                    <xdr:rowOff>9525</xdr:rowOff>
                  </from>
                  <to>
                    <xdr:col>3</xdr:col>
                    <xdr:colOff>47625</xdr:colOff>
                    <xdr:row>79</xdr:row>
                    <xdr:rowOff>0</xdr:rowOff>
                  </to>
                </anchor>
              </controlPr>
            </control>
          </mc:Choice>
        </mc:AlternateContent>
        <mc:AlternateContent xmlns:mc="http://schemas.openxmlformats.org/markup-compatibility/2006">
          <mc:Choice Requires="x14">
            <control shapeId="20496" r:id="rId17" name="Check Box 16">
              <controlPr defaultSize="0" autoFill="0" autoLine="0" autoPict="0" macro="[0]!Sheet4.地域567チェック16_Click">
                <anchor moveWithCells="1">
                  <from>
                    <xdr:col>2</xdr:col>
                    <xdr:colOff>638175</xdr:colOff>
                    <xdr:row>79</xdr:row>
                    <xdr:rowOff>9525</xdr:rowOff>
                  </from>
                  <to>
                    <xdr:col>3</xdr:col>
                    <xdr:colOff>47625</xdr:colOff>
                    <xdr:row>80</xdr:row>
                    <xdr:rowOff>0</xdr:rowOff>
                  </to>
                </anchor>
              </controlPr>
            </control>
          </mc:Choice>
        </mc:AlternateContent>
        <mc:AlternateContent xmlns:mc="http://schemas.openxmlformats.org/markup-compatibility/2006">
          <mc:Choice Requires="x14">
            <control shapeId="20497" r:id="rId18" name="Check Box 17">
              <controlPr defaultSize="0" autoFill="0" autoLine="0" autoPict="0" macro="[0]!Sheet4.地域567チェック17_Click">
                <anchor moveWithCells="1">
                  <from>
                    <xdr:col>2</xdr:col>
                    <xdr:colOff>638175</xdr:colOff>
                    <xdr:row>80</xdr:row>
                    <xdr:rowOff>9525</xdr:rowOff>
                  </from>
                  <to>
                    <xdr:col>3</xdr:col>
                    <xdr:colOff>47625</xdr:colOff>
                    <xdr:row>81</xdr:row>
                    <xdr:rowOff>0</xdr:rowOff>
                  </to>
                </anchor>
              </controlPr>
            </control>
          </mc:Choice>
        </mc:AlternateContent>
        <mc:AlternateContent xmlns:mc="http://schemas.openxmlformats.org/markup-compatibility/2006">
          <mc:Choice Requires="x14">
            <control shapeId="20498" r:id="rId19" name="Check Box 18">
              <controlPr defaultSize="0" autoFill="0" autoLine="0" autoPict="0" macro="[0]!Sheet4.地域567チェック18_Click">
                <anchor moveWithCells="1">
                  <from>
                    <xdr:col>2</xdr:col>
                    <xdr:colOff>638175</xdr:colOff>
                    <xdr:row>82</xdr:row>
                    <xdr:rowOff>9525</xdr:rowOff>
                  </from>
                  <to>
                    <xdr:col>3</xdr:col>
                    <xdr:colOff>47625</xdr:colOff>
                    <xdr:row>83</xdr:row>
                    <xdr:rowOff>0</xdr:rowOff>
                  </to>
                </anchor>
              </controlPr>
            </control>
          </mc:Choice>
        </mc:AlternateContent>
        <mc:AlternateContent xmlns:mc="http://schemas.openxmlformats.org/markup-compatibility/2006">
          <mc:Choice Requires="x14">
            <control shapeId="20499" r:id="rId20" name="Check Box 19">
              <controlPr defaultSize="0" autoFill="0" autoLine="0" autoPict="0" macro="[0]!Sheet4.地域567チェック19_Click">
                <anchor moveWithCells="1">
                  <from>
                    <xdr:col>2</xdr:col>
                    <xdr:colOff>638175</xdr:colOff>
                    <xdr:row>83</xdr:row>
                    <xdr:rowOff>9525</xdr:rowOff>
                  </from>
                  <to>
                    <xdr:col>3</xdr:col>
                    <xdr:colOff>47625</xdr:colOff>
                    <xdr:row>84</xdr:row>
                    <xdr:rowOff>0</xdr:rowOff>
                  </to>
                </anchor>
              </controlPr>
            </control>
          </mc:Choice>
        </mc:AlternateContent>
        <mc:AlternateContent xmlns:mc="http://schemas.openxmlformats.org/markup-compatibility/2006">
          <mc:Choice Requires="x14">
            <control shapeId="20507" r:id="rId21" name="Check Box 27">
              <controlPr defaultSize="0" autoFill="0" autoLine="0" autoPict="0" macro="[0]!Sheet4.地域567チェック27_Click">
                <anchor moveWithCells="1">
                  <from>
                    <xdr:col>2</xdr:col>
                    <xdr:colOff>647700</xdr:colOff>
                    <xdr:row>64</xdr:row>
                    <xdr:rowOff>19050</xdr:rowOff>
                  </from>
                  <to>
                    <xdr:col>3</xdr:col>
                    <xdr:colOff>76200</xdr:colOff>
                    <xdr:row>64</xdr:row>
                    <xdr:rowOff>371475</xdr:rowOff>
                  </to>
                </anchor>
              </controlPr>
            </control>
          </mc:Choice>
        </mc:AlternateContent>
        <mc:AlternateContent xmlns:mc="http://schemas.openxmlformats.org/markup-compatibility/2006">
          <mc:Choice Requires="x14">
            <control shapeId="20508" r:id="rId22" name="Check Box 28">
              <controlPr defaultSize="0" autoFill="0" autoLine="0" autoPict="0" macro="[0]!Sheet4.地域567チェック28_Click">
                <anchor moveWithCells="1">
                  <from>
                    <xdr:col>2</xdr:col>
                    <xdr:colOff>647700</xdr:colOff>
                    <xdr:row>64</xdr:row>
                    <xdr:rowOff>371475</xdr:rowOff>
                  </from>
                  <to>
                    <xdr:col>3</xdr:col>
                    <xdr:colOff>85725</xdr:colOff>
                    <xdr:row>65</xdr:row>
                    <xdr:rowOff>371475</xdr:rowOff>
                  </to>
                </anchor>
              </controlPr>
            </control>
          </mc:Choice>
        </mc:AlternateContent>
        <mc:AlternateContent xmlns:mc="http://schemas.openxmlformats.org/markup-compatibility/2006">
          <mc:Choice Requires="x14">
            <control shapeId="20509" r:id="rId23" name="Check Box 29">
              <controlPr defaultSize="0" autoFill="0" autoLine="0" autoPict="0" macro="[0]!Sheet4.地域567チェック29_Click">
                <anchor moveWithCells="1">
                  <from>
                    <xdr:col>2</xdr:col>
                    <xdr:colOff>647700</xdr:colOff>
                    <xdr:row>70</xdr:row>
                    <xdr:rowOff>0</xdr:rowOff>
                  </from>
                  <to>
                    <xdr:col>3</xdr:col>
                    <xdr:colOff>76200</xdr:colOff>
                    <xdr:row>70</xdr:row>
                    <xdr:rowOff>371475</xdr:rowOff>
                  </to>
                </anchor>
              </controlPr>
            </control>
          </mc:Choice>
        </mc:AlternateContent>
        <mc:AlternateContent xmlns:mc="http://schemas.openxmlformats.org/markup-compatibility/2006">
          <mc:Choice Requires="x14">
            <control shapeId="20511" r:id="rId24" name="Check Box 31">
              <controlPr defaultSize="0" autoFill="0" autoLine="0" autoPict="0" macro="[0]!Sheet4.地域567チェック31_Click">
                <anchor moveWithCells="1">
                  <from>
                    <xdr:col>2</xdr:col>
                    <xdr:colOff>647700</xdr:colOff>
                    <xdr:row>62</xdr:row>
                    <xdr:rowOff>9525</xdr:rowOff>
                  </from>
                  <to>
                    <xdr:col>3</xdr:col>
                    <xdr:colOff>76200</xdr:colOff>
                    <xdr:row>63</xdr:row>
                    <xdr:rowOff>0</xdr:rowOff>
                  </to>
                </anchor>
              </controlPr>
            </control>
          </mc:Choice>
        </mc:AlternateContent>
        <mc:AlternateContent xmlns:mc="http://schemas.openxmlformats.org/markup-compatibility/2006">
          <mc:Choice Requires="x14">
            <control shapeId="20512" r:id="rId25" name="Check Box 32">
              <controlPr defaultSize="0" autoFill="0" autoLine="0" autoPict="0" macro="[0]!Sheet4.地域567チェック32_Click">
                <anchor moveWithCells="1">
                  <from>
                    <xdr:col>5</xdr:col>
                    <xdr:colOff>676275</xdr:colOff>
                    <xdr:row>55</xdr:row>
                    <xdr:rowOff>9525</xdr:rowOff>
                  </from>
                  <to>
                    <xdr:col>6</xdr:col>
                    <xdr:colOff>76200</xdr:colOff>
                    <xdr:row>56</xdr:row>
                    <xdr:rowOff>0</xdr:rowOff>
                  </to>
                </anchor>
              </controlPr>
            </control>
          </mc:Choice>
        </mc:AlternateContent>
        <mc:AlternateContent xmlns:mc="http://schemas.openxmlformats.org/markup-compatibility/2006">
          <mc:Choice Requires="x14">
            <control shapeId="20513" r:id="rId26" name="Check Box 33">
              <controlPr defaultSize="0" autoFill="0" autoLine="0" autoPict="0" macro="[0]!Sheet4.地域567チェック33_Click">
                <anchor moveWithCells="1">
                  <from>
                    <xdr:col>5</xdr:col>
                    <xdr:colOff>676275</xdr:colOff>
                    <xdr:row>60</xdr:row>
                    <xdr:rowOff>9525</xdr:rowOff>
                  </from>
                  <to>
                    <xdr:col>6</xdr:col>
                    <xdr:colOff>85725</xdr:colOff>
                    <xdr:row>61</xdr:row>
                    <xdr:rowOff>0</xdr:rowOff>
                  </to>
                </anchor>
              </controlPr>
            </control>
          </mc:Choice>
        </mc:AlternateContent>
        <mc:AlternateContent xmlns:mc="http://schemas.openxmlformats.org/markup-compatibility/2006">
          <mc:Choice Requires="x14">
            <control shapeId="20514" r:id="rId27" name="Check Box 34">
              <controlPr defaultSize="0" autoFill="0" autoLine="0" autoPict="0" macro="[0]!Sheet4.地域567チェック34_Click">
                <anchor moveWithCells="1">
                  <from>
                    <xdr:col>6</xdr:col>
                    <xdr:colOff>714375</xdr:colOff>
                    <xdr:row>57</xdr:row>
                    <xdr:rowOff>9525</xdr:rowOff>
                  </from>
                  <to>
                    <xdr:col>7</xdr:col>
                    <xdr:colOff>123825</xdr:colOff>
                    <xdr:row>58</xdr:row>
                    <xdr:rowOff>0</xdr:rowOff>
                  </to>
                </anchor>
              </controlPr>
            </control>
          </mc:Choice>
        </mc:AlternateContent>
        <mc:AlternateContent xmlns:mc="http://schemas.openxmlformats.org/markup-compatibility/2006">
          <mc:Choice Requires="x14">
            <control shapeId="20515" r:id="rId28" name="Check Box 35">
              <controlPr defaultSize="0" autoFill="0" autoLine="0" autoPict="0" macro="[0]!Sheet4.地域567チェック35_Click">
                <anchor moveWithCells="1">
                  <from>
                    <xdr:col>6</xdr:col>
                    <xdr:colOff>723900</xdr:colOff>
                    <xdr:row>58</xdr:row>
                    <xdr:rowOff>9525</xdr:rowOff>
                  </from>
                  <to>
                    <xdr:col>7</xdr:col>
                    <xdr:colOff>123825</xdr:colOff>
                    <xdr:row>59</xdr:row>
                    <xdr:rowOff>0</xdr:rowOff>
                  </to>
                </anchor>
              </controlPr>
            </control>
          </mc:Choice>
        </mc:AlternateContent>
        <mc:AlternateContent xmlns:mc="http://schemas.openxmlformats.org/markup-compatibility/2006">
          <mc:Choice Requires="x14">
            <control shapeId="20516" r:id="rId29" name="Check Box 36">
              <controlPr defaultSize="0" autoFill="0" autoLine="0" autoPict="0" macro="[0]!Sheet4.地域567チェック36_Click">
                <anchor moveWithCells="1">
                  <from>
                    <xdr:col>6</xdr:col>
                    <xdr:colOff>723900</xdr:colOff>
                    <xdr:row>59</xdr:row>
                    <xdr:rowOff>9525</xdr:rowOff>
                  </from>
                  <to>
                    <xdr:col>7</xdr:col>
                    <xdr:colOff>123825</xdr:colOff>
                    <xdr:row>60</xdr:row>
                    <xdr:rowOff>0</xdr:rowOff>
                  </to>
                </anchor>
              </controlPr>
            </control>
          </mc:Choice>
        </mc:AlternateContent>
        <mc:AlternateContent xmlns:mc="http://schemas.openxmlformats.org/markup-compatibility/2006">
          <mc:Choice Requires="x14">
            <control shapeId="20517" r:id="rId30" name="Check Box 37">
              <controlPr defaultSize="0" autoFill="0" autoLine="0" autoPict="0" macro="[0]!Sheet4.地域567チェック37_Click">
                <anchor moveWithCells="1">
                  <from>
                    <xdr:col>5</xdr:col>
                    <xdr:colOff>676275</xdr:colOff>
                    <xdr:row>54</xdr:row>
                    <xdr:rowOff>9525</xdr:rowOff>
                  </from>
                  <to>
                    <xdr:col>6</xdr:col>
                    <xdr:colOff>76200</xdr:colOff>
                    <xdr:row>55</xdr:row>
                    <xdr:rowOff>0</xdr:rowOff>
                  </to>
                </anchor>
              </controlPr>
            </control>
          </mc:Choice>
        </mc:AlternateContent>
        <mc:AlternateContent xmlns:mc="http://schemas.openxmlformats.org/markup-compatibility/2006">
          <mc:Choice Requires="x14">
            <control shapeId="20518" r:id="rId31" name="Check Box 38">
              <controlPr defaultSize="0" autoFill="0" autoLine="0" autoPict="0" macro="[0]!Sheet4.地域567チェック38_Click">
                <anchor moveWithCells="1">
                  <from>
                    <xdr:col>5</xdr:col>
                    <xdr:colOff>676275</xdr:colOff>
                    <xdr:row>61</xdr:row>
                    <xdr:rowOff>9525</xdr:rowOff>
                  </from>
                  <to>
                    <xdr:col>6</xdr:col>
                    <xdr:colOff>76200</xdr:colOff>
                    <xdr:row>62</xdr:row>
                    <xdr:rowOff>0</xdr:rowOff>
                  </to>
                </anchor>
              </controlPr>
            </control>
          </mc:Choice>
        </mc:AlternateContent>
        <mc:AlternateContent xmlns:mc="http://schemas.openxmlformats.org/markup-compatibility/2006">
          <mc:Choice Requires="x14">
            <control shapeId="20519" r:id="rId32" name="Check Box 39">
              <controlPr defaultSize="0" autoFill="0" autoLine="0" autoPict="0" macro="[0]!Sheet4.地域567チェック39_Click">
                <anchor moveWithCells="1">
                  <from>
                    <xdr:col>5</xdr:col>
                    <xdr:colOff>647700</xdr:colOff>
                    <xdr:row>66</xdr:row>
                    <xdr:rowOff>0</xdr:rowOff>
                  </from>
                  <to>
                    <xdr:col>6</xdr:col>
                    <xdr:colOff>76200</xdr:colOff>
                    <xdr:row>67</xdr:row>
                    <xdr:rowOff>0</xdr:rowOff>
                  </to>
                </anchor>
              </controlPr>
            </control>
          </mc:Choice>
        </mc:AlternateContent>
        <mc:AlternateContent xmlns:mc="http://schemas.openxmlformats.org/markup-compatibility/2006">
          <mc:Choice Requires="x14">
            <control shapeId="20520" r:id="rId33" name="Check Box 40">
              <controlPr defaultSize="0" autoFill="0" autoLine="0" autoPict="0" macro="[0]!Sheet4.地域567チェック40_Click">
                <anchor moveWithCells="1">
                  <from>
                    <xdr:col>5</xdr:col>
                    <xdr:colOff>647700</xdr:colOff>
                    <xdr:row>67</xdr:row>
                    <xdr:rowOff>0</xdr:rowOff>
                  </from>
                  <to>
                    <xdr:col>6</xdr:col>
                    <xdr:colOff>76200</xdr:colOff>
                    <xdr:row>68</xdr:row>
                    <xdr:rowOff>0</xdr:rowOff>
                  </to>
                </anchor>
              </controlPr>
            </control>
          </mc:Choice>
        </mc:AlternateContent>
        <mc:AlternateContent xmlns:mc="http://schemas.openxmlformats.org/markup-compatibility/2006">
          <mc:Choice Requires="x14">
            <control shapeId="20521" r:id="rId34" name="Check Box 41">
              <controlPr defaultSize="0" autoFill="0" autoLine="0" autoPict="0" macro="[0]!Sheet4.地域567チェック41_Click">
                <anchor moveWithCells="1">
                  <from>
                    <xdr:col>5</xdr:col>
                    <xdr:colOff>647700</xdr:colOff>
                    <xdr:row>68</xdr:row>
                    <xdr:rowOff>0</xdr:rowOff>
                  </from>
                  <to>
                    <xdr:col>6</xdr:col>
                    <xdr:colOff>76200</xdr:colOff>
                    <xdr:row>69</xdr:row>
                    <xdr:rowOff>0</xdr:rowOff>
                  </to>
                </anchor>
              </controlPr>
            </control>
          </mc:Choice>
        </mc:AlternateContent>
        <mc:AlternateContent xmlns:mc="http://schemas.openxmlformats.org/markup-compatibility/2006">
          <mc:Choice Requires="x14">
            <control shapeId="20522" r:id="rId35" name="Check Box 42">
              <controlPr defaultSize="0" autoFill="0" autoLine="0" autoPict="0" macro="[0]!Sheet4.地域567チェック42_Click">
                <anchor moveWithCells="1">
                  <from>
                    <xdr:col>5</xdr:col>
                    <xdr:colOff>647700</xdr:colOff>
                    <xdr:row>69</xdr:row>
                    <xdr:rowOff>0</xdr:rowOff>
                  </from>
                  <to>
                    <xdr:col>6</xdr:col>
                    <xdr:colOff>76200</xdr:colOff>
                    <xdr:row>70</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0">
        <x14:dataValidation type="list" allowBlank="1" showInputMessage="1" showErrorMessage="1" xr:uid="{22EBF89E-D622-4407-9EC0-97A2E279A1F6}">
          <x14:formula1>
            <xm:f>プルダウン項目_非表示!$B$8:$B$9</xm:f>
          </x14:formula1>
          <xm:sqref>C13:C14 C16:C19</xm:sqref>
        </x14:dataValidation>
        <x14:dataValidation type="list" allowBlank="1" showInputMessage="1" showErrorMessage="1" xr:uid="{6980A503-DA6C-46F3-B186-4984E21530C0}">
          <x14:formula1>
            <xm:f>プルダウン項目_非表示!$E$8:$E$9</xm:f>
          </x14:formula1>
          <xm:sqref>E17</xm:sqref>
        </x14:dataValidation>
        <x14:dataValidation type="list" allowBlank="1" showInputMessage="1" showErrorMessage="1" xr:uid="{5C5BE96D-C774-4DBF-B612-46755B540E3F}">
          <x14:formula1>
            <xm:f>プルダウン項目_非表示!$D$8:$D$10</xm:f>
          </x14:formula1>
          <xm:sqref>E13:E16</xm:sqref>
        </x14:dataValidation>
        <x14:dataValidation type="list" allowBlank="1" showInputMessage="1" showErrorMessage="1" xr:uid="{3BCB02F1-B695-4D00-AD7D-AA066ED053D2}">
          <x14:formula1>
            <xm:f>断熱材_非表示!$G$6:$G$87</xm:f>
          </x14:formula1>
          <xm:sqref>F13:G19</xm:sqref>
        </x14:dataValidation>
        <x14:dataValidation type="list" allowBlank="1" showInputMessage="1" showErrorMessage="1" xr:uid="{35C8DB42-AFD3-4139-A5BE-B2FEF96420C3}">
          <x14:formula1>
            <xm:f>プルダウン項目_非表示!$C$8:$C$9</xm:f>
          </x14:formula1>
          <xm:sqref>D13:D19</xm:sqref>
        </x14:dataValidation>
        <x14:dataValidation type="list" allowBlank="1" showInputMessage="1" showErrorMessage="1" xr:uid="{C3C0E927-56DB-4009-BFCE-62ABD283706D}">
          <x14:formula1>
            <xm:f>窓のプルダウン_非表示!$C$7:$C$9</xm:f>
          </x14:formula1>
          <xm:sqref>G29:H31</xm:sqref>
        </x14:dataValidation>
        <x14:dataValidation type="list" allowBlank="1" showInputMessage="1" showErrorMessage="1" xr:uid="{861D33DC-D384-49F3-B4B4-CD67C4DA7229}">
          <x14:formula1>
            <xm:f>ドアのプルダウン_非表示!$B$4:$B$6</xm:f>
          </x14:formula1>
          <xm:sqref>D43:E43</xm:sqref>
        </x14:dataValidation>
        <x14:dataValidation type="list" allowBlank="1" showInputMessage="1" showErrorMessage="1" xr:uid="{407F997E-CD3A-4269-B341-CC2EA7FA3481}">
          <x14:formula1>
            <xm:f>プルダウン項目_非表示!$G$8:$G$9</xm:f>
          </x14:formula1>
          <xm:sqref>E29:E31</xm:sqref>
        </x14:dataValidation>
        <x14:dataValidation type="list" allowBlank="1" showInputMessage="1" showErrorMessage="1" xr:uid="{EDE62CCB-FCC4-4882-AD08-5E6ADF9B18F4}">
          <x14:formula1>
            <xm:f>プルダウン項目_非表示!$H$8:$H$9</xm:f>
          </x14:formula1>
          <xm:sqref>F29:F31</xm:sqref>
        </x14:dataValidation>
        <x14:dataValidation type="list" allowBlank="1" showInputMessage="1" showErrorMessage="1" xr:uid="{F56E043D-911E-44D2-BE46-35612EF3941E}">
          <x14:formula1>
            <xm:f>プルダウン項目_非表示!$I$8:$I$9</xm:f>
          </x14:formula1>
          <xm:sqref>C43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4AB98-5DF4-4CEA-99CC-960522830937}">
  <sheetPr codeName="Sheet5">
    <tabColor rgb="FF0066FF"/>
    <pageSetUpPr fitToPage="1"/>
  </sheetPr>
  <dimension ref="A1:BA52"/>
  <sheetViews>
    <sheetView showGridLines="0" view="pageBreakPreview" zoomScale="60" zoomScaleNormal="100" workbookViewId="0">
      <pane ySplit="4" topLeftCell="A5" activePane="bottomLeft" state="frozen"/>
      <selection pane="bottomLeft" activeCell="C13" sqref="C13"/>
    </sheetView>
  </sheetViews>
  <sheetFormatPr defaultColWidth="0" defaultRowHeight="13.5"/>
  <cols>
    <col min="1" max="1" width="3.25" style="1" customWidth="1"/>
    <col min="2" max="2" width="23" style="1" customWidth="1"/>
    <col min="3" max="5" width="12.75" style="1" customWidth="1"/>
    <col min="6" max="8" width="12.875" style="1" customWidth="1"/>
    <col min="9" max="10" width="12.75" style="1" customWidth="1"/>
    <col min="11" max="12" width="13.5" style="1" customWidth="1"/>
    <col min="13" max="17" width="12.75" style="1" customWidth="1"/>
    <col min="18" max="19" width="13.5" style="1" customWidth="1"/>
    <col min="20" max="25" width="12.75" style="1" customWidth="1"/>
    <col min="26" max="27" width="12.75" style="1" hidden="1" customWidth="1"/>
    <col min="28" max="16384" width="8.75" style="1" hidden="1"/>
  </cols>
  <sheetData>
    <row r="1" spans="2:53" ht="23.25" customHeight="1" thickBot="1">
      <c r="B1" s="469" t="s">
        <v>4012</v>
      </c>
      <c r="C1" s="469"/>
      <c r="D1" s="469"/>
      <c r="E1" s="469"/>
      <c r="F1" s="469"/>
      <c r="G1" s="469"/>
      <c r="H1" s="471" t="s">
        <v>0</v>
      </c>
      <c r="I1" s="474" t="str">
        <f>IF('A 最初に入力してください　基本情報'!C21="","",'A 最初に入力してください　基本情報'!C21)</f>
        <v/>
      </c>
      <c r="K1" s="475" t="str">
        <f>IF(OR('A 最初に入力してください　基本情報'!C16="",'A 最初に入力してください　基本情報'!C19=""),"",IF(I1=8,"","←入力するシートが違います!!"))</f>
        <v/>
      </c>
      <c r="L1" s="475"/>
      <c r="M1" s="475"/>
      <c r="N1" s="476"/>
      <c r="O1" s="477" t="s">
        <v>3914</v>
      </c>
      <c r="P1" s="478"/>
      <c r="Q1" s="189"/>
      <c r="R1" s="182"/>
      <c r="Y1" s="75"/>
      <c r="Z1" s="75" t="s">
        <v>261</v>
      </c>
      <c r="AA1" s="75" t="s">
        <v>261</v>
      </c>
      <c r="AB1" s="75" t="s">
        <v>261</v>
      </c>
      <c r="AC1" s="75" t="s">
        <v>261</v>
      </c>
      <c r="AD1" s="75" t="s">
        <v>261</v>
      </c>
      <c r="AE1" s="75" t="s">
        <v>261</v>
      </c>
      <c r="AF1" s="75" t="s">
        <v>261</v>
      </c>
      <c r="AG1" s="75" t="s">
        <v>261</v>
      </c>
      <c r="AH1" s="75" t="s">
        <v>261</v>
      </c>
      <c r="AI1" s="75" t="s">
        <v>261</v>
      </c>
      <c r="AJ1" s="75" t="s">
        <v>261</v>
      </c>
      <c r="AK1" s="75" t="s">
        <v>261</v>
      </c>
      <c r="AL1" s="75" t="s">
        <v>261</v>
      </c>
      <c r="AM1" s="75" t="s">
        <v>261</v>
      </c>
      <c r="AN1" s="75" t="s">
        <v>261</v>
      </c>
      <c r="AO1" s="75" t="s">
        <v>261</v>
      </c>
      <c r="AP1" s="75" t="s">
        <v>261</v>
      </c>
      <c r="AQ1" s="75" t="s">
        <v>261</v>
      </c>
      <c r="AR1" s="75" t="s">
        <v>261</v>
      </c>
      <c r="AS1" s="75" t="s">
        <v>261</v>
      </c>
      <c r="AT1" s="75" t="s">
        <v>261</v>
      </c>
      <c r="AU1" s="75" t="s">
        <v>261</v>
      </c>
      <c r="AV1" s="75" t="s">
        <v>261</v>
      </c>
      <c r="AW1" s="75" t="s">
        <v>261</v>
      </c>
      <c r="AX1" s="75" t="s">
        <v>261</v>
      </c>
      <c r="AY1" s="75" t="s">
        <v>261</v>
      </c>
      <c r="AZ1" s="75" t="s">
        <v>261</v>
      </c>
      <c r="BA1" s="75" t="s">
        <v>261</v>
      </c>
    </row>
    <row r="2" spans="2:53" ht="18.75" customHeight="1" thickTop="1" thickBot="1">
      <c r="B2" s="469"/>
      <c r="C2" s="469"/>
      <c r="D2" s="469"/>
      <c r="E2" s="469"/>
      <c r="F2" s="469"/>
      <c r="G2" s="469"/>
      <c r="H2" s="471"/>
      <c r="I2" s="474"/>
      <c r="J2" s="479" t="s">
        <v>1</v>
      </c>
      <c r="K2" s="475"/>
      <c r="L2" s="475"/>
      <c r="M2" s="475"/>
      <c r="N2" s="476"/>
      <c r="O2" s="481" t="str">
        <f>IF(I1=8,IF((SUM(AP13:AP14)+SUM(AP22:AP23)+AP32)&gt;0,"不適","適合"),"")</f>
        <v/>
      </c>
      <c r="P2" s="482"/>
      <c r="Q2" s="189"/>
      <c r="R2" s="182"/>
      <c r="X2" s="214"/>
    </row>
    <row r="3" spans="2:53" ht="15.75" customHeight="1" thickTop="1" thickBot="1">
      <c r="B3" s="469"/>
      <c r="C3" s="469"/>
      <c r="D3" s="469"/>
      <c r="E3" s="469"/>
      <c r="F3" s="469"/>
      <c r="G3" s="469"/>
      <c r="H3" s="471"/>
      <c r="I3" s="474"/>
      <c r="J3" s="480"/>
      <c r="K3" s="475"/>
      <c r="L3" s="475"/>
      <c r="M3" s="475"/>
      <c r="N3" s="476"/>
      <c r="O3" s="483"/>
      <c r="P3" s="484"/>
      <c r="Q3" s="182"/>
      <c r="R3" s="182"/>
    </row>
    <row r="4" spans="2:53" ht="6" customHeight="1" thickTop="1">
      <c r="J4" s="151"/>
      <c r="K4" s="153"/>
      <c r="L4" s="30"/>
      <c r="M4" s="182"/>
      <c r="N4" s="182"/>
      <c r="O4" s="182"/>
      <c r="P4" s="182"/>
      <c r="Q4" s="182"/>
      <c r="R4" s="182"/>
      <c r="S4" s="190"/>
      <c r="T4" s="190"/>
    </row>
    <row r="5" spans="2:53" ht="24" customHeight="1">
      <c r="B5" s="152"/>
      <c r="C5" s="152"/>
      <c r="D5" s="152"/>
      <c r="E5" s="152"/>
      <c r="F5" s="152"/>
      <c r="G5" s="152"/>
      <c r="H5" s="152"/>
      <c r="J5" s="151"/>
      <c r="K5" s="153"/>
      <c r="L5" s="30"/>
      <c r="M5" s="150"/>
      <c r="N5" s="150"/>
      <c r="O5" s="150"/>
      <c r="P5" s="150"/>
      <c r="Q5" s="150"/>
      <c r="R5" s="150"/>
    </row>
    <row r="6" spans="2:53" ht="24" customHeight="1">
      <c r="B6" s="152"/>
      <c r="C6" s="152"/>
      <c r="D6" s="152"/>
      <c r="E6" s="152"/>
      <c r="F6" s="152"/>
      <c r="G6" s="152"/>
      <c r="H6" s="152"/>
      <c r="J6" s="151"/>
      <c r="K6" s="153"/>
      <c r="L6" s="30"/>
      <c r="M6" s="150"/>
      <c r="N6" s="150"/>
      <c r="O6" s="150"/>
      <c r="P6" s="150"/>
      <c r="Q6" s="150"/>
      <c r="R6" s="150"/>
    </row>
    <row r="7" spans="2:53" ht="279" customHeight="1"/>
    <row r="8" spans="2:53" ht="21" customHeight="1">
      <c r="C8" s="225"/>
      <c r="D8" s="225"/>
      <c r="E8" s="225"/>
      <c r="F8" s="464"/>
      <c r="G8" s="464"/>
      <c r="H8" s="226" t="s">
        <v>3975</v>
      </c>
      <c r="I8" s="228"/>
      <c r="J8" s="226" t="s">
        <v>3975</v>
      </c>
      <c r="K8" s="228"/>
      <c r="N8" s="350"/>
      <c r="O8" s="350"/>
      <c r="P8" s="226" t="s">
        <v>3975</v>
      </c>
      <c r="Q8" s="226" t="s">
        <v>3975</v>
      </c>
      <c r="R8" s="226" t="s">
        <v>3975</v>
      </c>
      <c r="AD8" s="8"/>
    </row>
    <row r="9" spans="2:53" ht="18" customHeight="1">
      <c r="B9" s="147"/>
      <c r="C9" s="59" t="s">
        <v>480</v>
      </c>
      <c r="D9" s="59" t="s">
        <v>481</v>
      </c>
      <c r="E9" s="59" t="s">
        <v>482</v>
      </c>
      <c r="F9" s="470" t="s">
        <v>483</v>
      </c>
      <c r="G9" s="470"/>
      <c r="H9" s="59" t="s">
        <v>484</v>
      </c>
      <c r="I9" s="59" t="s">
        <v>485</v>
      </c>
      <c r="J9" s="59" t="s">
        <v>486</v>
      </c>
      <c r="K9" s="59" t="s">
        <v>487</v>
      </c>
      <c r="L9" s="470" t="s">
        <v>488</v>
      </c>
      <c r="M9" s="470"/>
      <c r="N9" s="470"/>
      <c r="O9" s="461"/>
      <c r="P9" s="461" t="s">
        <v>4165</v>
      </c>
      <c r="Q9" s="463"/>
      <c r="R9" s="400"/>
      <c r="AD9" s="8"/>
      <c r="AS9" s="196" t="s">
        <v>4048</v>
      </c>
    </row>
    <row r="10" spans="2:53" s="8" customFormat="1" ht="14.25">
      <c r="B10" s="463" t="s">
        <v>2</v>
      </c>
      <c r="C10" s="58" t="s">
        <v>33</v>
      </c>
      <c r="D10" s="59" t="s">
        <v>227</v>
      </c>
      <c r="E10" s="470" t="s">
        <v>20</v>
      </c>
      <c r="F10" s="461" t="s">
        <v>35</v>
      </c>
      <c r="G10" s="463"/>
      <c r="H10" s="470" t="s">
        <v>32</v>
      </c>
      <c r="I10" s="470" t="s">
        <v>3</v>
      </c>
      <c r="J10" s="59" t="s">
        <v>3906</v>
      </c>
      <c r="K10" s="59" t="s">
        <v>231</v>
      </c>
      <c r="L10" s="461" t="s">
        <v>232</v>
      </c>
      <c r="M10" s="462"/>
      <c r="N10" s="462"/>
      <c r="O10" s="462"/>
      <c r="P10" s="461"/>
      <c r="Q10" s="463"/>
      <c r="R10" s="473" t="s">
        <v>4</v>
      </c>
      <c r="U10" s="1"/>
      <c r="V10" s="1"/>
      <c r="W10" s="1"/>
      <c r="X10" s="1"/>
      <c r="Y10" s="1"/>
      <c r="Z10" s="1"/>
      <c r="AA10" s="1"/>
      <c r="AB10" s="1"/>
      <c r="AC10" s="1"/>
      <c r="AS10" s="75">
        <v>1</v>
      </c>
      <c r="AT10" s="75">
        <v>2</v>
      </c>
      <c r="AU10" s="75">
        <v>3</v>
      </c>
      <c r="AV10" s="75">
        <v>4</v>
      </c>
      <c r="AW10" s="75">
        <v>5</v>
      </c>
      <c r="AX10" s="75">
        <v>6</v>
      </c>
    </row>
    <row r="11" spans="2:53" s="8" customFormat="1" ht="15.75">
      <c r="B11" s="463"/>
      <c r="C11" s="58" t="s">
        <v>3923</v>
      </c>
      <c r="D11" s="58" t="s">
        <v>225</v>
      </c>
      <c r="E11" s="470"/>
      <c r="F11" s="461"/>
      <c r="G11" s="463"/>
      <c r="H11" s="470"/>
      <c r="I11" s="470"/>
      <c r="J11" s="59" t="s">
        <v>3976</v>
      </c>
      <c r="K11" s="59" t="s">
        <v>3905</v>
      </c>
      <c r="L11" s="461" t="s">
        <v>3938</v>
      </c>
      <c r="M11" s="462"/>
      <c r="N11" s="462"/>
      <c r="O11" s="462"/>
      <c r="P11" s="401" t="s">
        <v>4166</v>
      </c>
      <c r="Q11" s="401" t="s">
        <v>497</v>
      </c>
      <c r="R11" s="473"/>
      <c r="U11" s="1"/>
      <c r="V11" s="1"/>
      <c r="W11" s="1"/>
      <c r="X11" s="1"/>
      <c r="Y11" s="1"/>
      <c r="Z11" s="1"/>
      <c r="AA11" s="1"/>
      <c r="AB11" s="1"/>
      <c r="AC11" s="196" t="s">
        <v>3955</v>
      </c>
      <c r="AD11" s="1"/>
      <c r="AF11" s="196" t="s">
        <v>490</v>
      </c>
      <c r="AG11" s="74" t="s">
        <v>491</v>
      </c>
      <c r="AJ11" s="1"/>
      <c r="AL11" s="196" t="s">
        <v>4</v>
      </c>
      <c r="AM11" s="196"/>
      <c r="AQ11" s="196" t="s">
        <v>4048</v>
      </c>
    </row>
    <row r="12" spans="2:53" s="8" customFormat="1" ht="19.899999999999999" customHeight="1">
      <c r="B12" s="409"/>
      <c r="C12" s="409"/>
      <c r="D12" s="409"/>
      <c r="E12" s="409"/>
      <c r="F12" s="171"/>
      <c r="G12" s="23"/>
      <c r="H12" s="410" t="s">
        <v>262</v>
      </c>
      <c r="I12" s="180" t="s">
        <v>515</v>
      </c>
      <c r="J12" s="180" t="s">
        <v>226</v>
      </c>
      <c r="K12" s="180" t="s">
        <v>226</v>
      </c>
      <c r="L12" s="485" t="s">
        <v>374</v>
      </c>
      <c r="M12" s="486"/>
      <c r="N12" s="486"/>
      <c r="O12" s="486"/>
      <c r="P12" s="180" t="s">
        <v>226</v>
      </c>
      <c r="Q12" s="180" t="s">
        <v>226</v>
      </c>
      <c r="R12" s="402"/>
      <c r="U12" s="1"/>
      <c r="V12" s="1"/>
      <c r="W12" s="1"/>
      <c r="X12" s="1"/>
      <c r="Y12" s="1"/>
      <c r="Z12" s="1"/>
      <c r="AA12" s="1"/>
      <c r="AB12" s="1"/>
      <c r="AC12" s="196" t="s">
        <v>4168</v>
      </c>
      <c r="AD12" s="1"/>
      <c r="AF12" s="196" t="s">
        <v>3932</v>
      </c>
      <c r="AG12" s="196" t="s">
        <v>58</v>
      </c>
      <c r="AH12" s="196" t="s">
        <v>59</v>
      </c>
      <c r="AI12" s="196" t="s">
        <v>3947</v>
      </c>
      <c r="AJ12" s="196" t="s">
        <v>497</v>
      </c>
      <c r="AL12" s="196" t="s">
        <v>3955</v>
      </c>
      <c r="AM12" s="196" t="s">
        <v>3956</v>
      </c>
      <c r="AP12" s="196" t="s">
        <v>3914</v>
      </c>
      <c r="AQ12" s="196" t="s">
        <v>4047</v>
      </c>
      <c r="AS12" s="74" t="s">
        <v>20</v>
      </c>
      <c r="AT12" s="74" t="s">
        <v>35</v>
      </c>
      <c r="AU12" s="74" t="s">
        <v>4025</v>
      </c>
      <c r="AV12" s="74" t="s">
        <v>4026</v>
      </c>
      <c r="AW12" s="74" t="s">
        <v>4027</v>
      </c>
      <c r="AX12" s="74" t="s">
        <v>232</v>
      </c>
    </row>
    <row r="13" spans="2:53" ht="45" customHeight="1">
      <c r="B13" s="403" t="s">
        <v>5</v>
      </c>
      <c r="C13" s="404"/>
      <c r="D13" s="405"/>
      <c r="E13" s="405"/>
      <c r="F13" s="449"/>
      <c r="G13" s="450"/>
      <c r="H13" s="406" t="str">
        <f>IF(F13="","",VLOOKUP(F13,断熱材_非表示!$G$6:$H$87,2,FALSE))</f>
        <v/>
      </c>
      <c r="I13" s="218"/>
      <c r="J13" s="412" t="str">
        <f>IF(OR(F13="",I13=""),"",ROUNDDOWN((I13/1000/H13),2))</f>
        <v/>
      </c>
      <c r="K13" s="404"/>
      <c r="L13" s="534"/>
      <c r="M13" s="535"/>
      <c r="N13" s="535"/>
      <c r="O13" s="535"/>
      <c r="P13" s="412" t="str">
        <f>IF(D13="","",IF(D13="直接入力",AC13,J13))</f>
        <v/>
      </c>
      <c r="Q13" s="413" t="str">
        <f>IFERROR(IF(D13="直接入力",IF(K13="","",AI13&amp;" "&amp;FIXED(AJ13,2)),IF(J13="","",AI13&amp;" "&amp;FIXED(AJ13,2))),"エラー")</f>
        <v/>
      </c>
      <c r="R13" s="318" t="str">
        <f>IF(C13="該当部位なし","該当部位なし",IF(D13="","",IF($I$1&lt;&gt;8,"地域に対し入力するシートが違います",IF(D13="直接入力",AL13,IF(D13="断熱材の種類から入力",AM13,"")))))</f>
        <v/>
      </c>
      <c r="AC13" s="304" t="str">
        <f>IF(K13="","",ROUNDDOWN(K13,2))</f>
        <v/>
      </c>
      <c r="AE13" s="196">
        <v>2</v>
      </c>
      <c r="AF13" s="196" t="e">
        <f>VLOOKUP($I$1,'仕様基準-省エネ基準_非表示'!$B$13:$J$13,$AE13,FALSE)</f>
        <v>#N/A</v>
      </c>
      <c r="AG13" s="196" t="e">
        <f>VLOOKUP($I$1,'仕様基準-省エネ基準_非表示'!$B$25:$J$25,$AE13,FALSE)</f>
        <v>#N/A</v>
      </c>
      <c r="AH13" s="196" t="e">
        <f>VLOOKUP($I$1,'仕様基準-省エネ基準_非表示'!$B$37:$J$37,$AE13,FALSE)</f>
        <v>#N/A</v>
      </c>
      <c r="AI13" s="211" t="s">
        <v>3952</v>
      </c>
      <c r="AJ13" s="196" t="str">
        <f>IF(E13=$AF$12,AF13,IF(E13=$AG$12,AG13,IF(E13=$AH$12,AH13,"未入力")))</f>
        <v>未入力</v>
      </c>
      <c r="AL13" s="75" t="str">
        <f>IF(K13="","",IF(K13&gt;=AJ13,"適合","不適"))</f>
        <v/>
      </c>
      <c r="AM13" s="75" t="str">
        <f>IF(J13="","",IF(J13&gt;=AJ13,"適合","不適"))</f>
        <v/>
      </c>
      <c r="AP13" s="422">
        <f>IF(C13="断熱部位",IF(R13="適合",0,1),0)</f>
        <v>0</v>
      </c>
      <c r="AQ13" s="213" t="str">
        <f>IF(D13="","",IF(D13="直接入力",K13,J13))</f>
        <v/>
      </c>
      <c r="AS13" s="371" t="str">
        <f>IF(C13="該当部位なし","－",IF(E13="","",E13))</f>
        <v/>
      </c>
      <c r="AT13" s="371" t="str">
        <f>IF(C13="該当部位なし","－",IF(D13="直接入力","－",IF(F13="","",F13)))</f>
        <v/>
      </c>
      <c r="AU13" s="371" t="str">
        <f>IF(C13="該当部位なし","－",IF(D13="直接入力","－",IF(I13="","",I13)))</f>
        <v/>
      </c>
      <c r="AV13" s="372" t="str">
        <f>IF(C13="該当部位なし","－",IF(OR(AQ13="",AQ13=0),"",AQ13))</f>
        <v/>
      </c>
      <c r="AW13" s="372" t="str">
        <f>IF(C13="該当部位なし","－",IF(AJ13="未入力","",AJ13))</f>
        <v/>
      </c>
      <c r="AX13" s="371" t="str">
        <f>IF(C13="","",IF(C13="該当部位なし","該当部位なし",IF(L13="","－",L13)))</f>
        <v/>
      </c>
    </row>
    <row r="14" spans="2:53" ht="45" customHeight="1">
      <c r="B14" s="192" t="s">
        <v>6</v>
      </c>
      <c r="C14" s="215"/>
      <c r="D14" s="216"/>
      <c r="E14" s="216"/>
      <c r="F14" s="451"/>
      <c r="G14" s="466"/>
      <c r="H14" s="314" t="str">
        <f>IF(F14="","",VLOOKUP(F14,断熱材_非表示!$G$6:$H$87,2,FALSE))</f>
        <v/>
      </c>
      <c r="I14" s="217"/>
      <c r="J14" s="397" t="str">
        <f>IF(OR(F14="",I14=""),"",ROUNDDOWN((I14/1000/H14),2))</f>
        <v/>
      </c>
      <c r="K14" s="215"/>
      <c r="L14" s="536"/>
      <c r="M14" s="537"/>
      <c r="N14" s="537"/>
      <c r="O14" s="537"/>
      <c r="P14" s="397" t="str">
        <f t="shared" ref="P14" si="0">IF(D14="","",IF(D14="直接入力",AC14,J14))</f>
        <v/>
      </c>
      <c r="Q14" s="376" t="str">
        <f>IFERROR(IF(D14="直接入力",IF(K14="","",AI14&amp;" "&amp;FIXED(AJ14,2)),IF(J14="","",AI14&amp;" "&amp;FIXED(AJ14,2))),"エラー")</f>
        <v/>
      </c>
      <c r="R14" s="318" t="str">
        <f>IF(C14="該当部位なし","該当部位なし",IF(D14="","",IF($I$1&lt;&gt;8,"地域に対し入力するシートが違います",IF(D14="直接入力",AL14,IF(D14="断熱材の種類から入力",AM14,"")))))</f>
        <v/>
      </c>
      <c r="AC14" s="304" t="str">
        <f>IF(K14="","",ROUNDDOWN(K14,2))</f>
        <v/>
      </c>
      <c r="AE14" s="196">
        <v>3</v>
      </c>
      <c r="AF14" s="196" t="e">
        <f>VLOOKUP($I$1,'仕様基準-省エネ基準_非表示'!$B$13:$J$13,$AE14,FALSE)</f>
        <v>#N/A</v>
      </c>
      <c r="AG14" s="196" t="e">
        <f>VLOOKUP($I$1,'仕様基準-省エネ基準_非表示'!$B$25:$J$25,$AE14,FALSE)</f>
        <v>#N/A</v>
      </c>
      <c r="AH14" s="196" t="e">
        <f>VLOOKUP($I$1,'仕様基準-省エネ基準_非表示'!$B$37:$J$37,$AE14,FALSE)</f>
        <v>#N/A</v>
      </c>
      <c r="AI14" s="211" t="s">
        <v>3952</v>
      </c>
      <c r="AJ14" s="196" t="str">
        <f t="shared" ref="AJ14" si="1">IF(E14=$AF$12,AF14,IF(E14=$AG$12,AG14,IF(E14=$AH$12,AH14,"未入力")))</f>
        <v>未入力</v>
      </c>
      <c r="AL14" s="75" t="str">
        <f t="shared" ref="AL14" si="2">IF(K14="","",IF(K14&gt;=AJ14,"適合","不適"))</f>
        <v/>
      </c>
      <c r="AM14" s="75" t="str">
        <f t="shared" ref="AM14" si="3">IF(J14="","",IF(J14&gt;=AJ14,"適合","不適"))</f>
        <v/>
      </c>
      <c r="AP14" s="422">
        <f>IF(C14="断熱部位",IF(R14="適合",0,1),0)</f>
        <v>0</v>
      </c>
      <c r="AQ14" s="213" t="str">
        <f>IF(D14="","",IF(D14="直接入力",K14,J14))</f>
        <v/>
      </c>
      <c r="AS14" s="371" t="str">
        <f t="shared" ref="AS14" si="4">IF(C14="該当部位なし","－",IF(E14="","",E14))</f>
        <v/>
      </c>
      <c r="AT14" s="371" t="str">
        <f t="shared" ref="AT14" si="5">IF(C14="該当部位なし","－",IF(D14="直接入力","－",IF(F14="","",F14)))</f>
        <v/>
      </c>
      <c r="AU14" s="371" t="str">
        <f t="shared" ref="AU14" si="6">IF(C14="該当部位なし","－",IF(D14="直接入力","－",IF(I14="","",I14)))</f>
        <v/>
      </c>
      <c r="AV14" s="372" t="str">
        <f t="shared" ref="AV14" si="7">IF(C14="該当部位なし","－",IF(OR(AQ14="",AQ14=0),"",AQ14))</f>
        <v/>
      </c>
      <c r="AW14" s="372" t="str">
        <f t="shared" ref="AW14" si="8">IF(C14="該当部位なし","－",IF(AJ14="未入力","",AJ14))</f>
        <v/>
      </c>
      <c r="AX14" s="371" t="str">
        <f>IF(C14="","",IF(C14="該当部位なし","該当部位なし",IF(L14="","－",L14)))</f>
        <v/>
      </c>
    </row>
    <row r="15" spans="2:53">
      <c r="C15" s="4"/>
      <c r="D15" s="4"/>
      <c r="Q15" s="4"/>
    </row>
    <row r="16" spans="2:53" ht="282.75" customHeight="1">
      <c r="X16" s="8"/>
      <c r="Y16" s="8"/>
      <c r="Z16" s="8"/>
      <c r="AA16" s="8"/>
      <c r="AB16" s="8"/>
      <c r="AD16" s="8"/>
    </row>
    <row r="17" spans="2:53" ht="21" customHeight="1">
      <c r="C17" s="123"/>
      <c r="D17" s="123"/>
      <c r="E17" s="225"/>
      <c r="F17" s="225"/>
      <c r="G17" s="464"/>
      <c r="H17" s="464"/>
      <c r="I17" s="464"/>
      <c r="J17" s="464"/>
      <c r="K17" s="464"/>
      <c r="L17" s="464"/>
      <c r="M17" s="228"/>
      <c r="N17" s="228"/>
      <c r="O17" s="228"/>
      <c r="P17" s="350"/>
      <c r="Q17" s="350"/>
      <c r="R17" s="350"/>
      <c r="S17" s="226" t="s">
        <v>3975</v>
      </c>
      <c r="T17" s="226" t="s">
        <v>3975</v>
      </c>
      <c r="U17" s="226" t="s">
        <v>3975</v>
      </c>
      <c r="Z17" s="8"/>
      <c r="AA17" s="8"/>
      <c r="AB17" s="122"/>
      <c r="AC17" s="122"/>
      <c r="AD17" s="8"/>
      <c r="AE17" s="8"/>
      <c r="AF17" s="8"/>
      <c r="AJ17" s="8"/>
      <c r="AS17" s="196" t="s">
        <v>4048</v>
      </c>
    </row>
    <row r="18" spans="2:53" ht="18" customHeight="1">
      <c r="B18" s="174"/>
      <c r="C18" s="175"/>
      <c r="D18" s="174"/>
      <c r="E18" s="176" t="s">
        <v>480</v>
      </c>
      <c r="F18" s="176" t="s">
        <v>481</v>
      </c>
      <c r="G18" s="460" t="s">
        <v>482</v>
      </c>
      <c r="H18" s="460"/>
      <c r="I18" s="460" t="s">
        <v>483</v>
      </c>
      <c r="J18" s="460"/>
      <c r="K18" s="460" t="s">
        <v>484</v>
      </c>
      <c r="L18" s="460"/>
      <c r="M18" s="176" t="s">
        <v>485</v>
      </c>
      <c r="N18" s="176" t="s">
        <v>486</v>
      </c>
      <c r="O18" s="487" t="s">
        <v>488</v>
      </c>
      <c r="P18" s="488"/>
      <c r="Q18" s="488"/>
      <c r="R18" s="489"/>
      <c r="S18" s="177"/>
      <c r="T18" s="251"/>
      <c r="U18" s="177"/>
      <c r="AB18" s="122"/>
      <c r="AC18" s="122"/>
      <c r="AD18" s="8"/>
      <c r="AE18" s="8"/>
      <c r="AF18" s="8"/>
      <c r="AJ18" s="8"/>
      <c r="AN18" s="196" t="s">
        <v>4</v>
      </c>
      <c r="AO18" s="196"/>
      <c r="AS18" s="75" t="s">
        <v>233</v>
      </c>
      <c r="AT18" s="75" t="s">
        <v>4159</v>
      </c>
      <c r="AU18" s="75" t="s">
        <v>4032</v>
      </c>
      <c r="AV18" s="75" t="s">
        <v>3961</v>
      </c>
      <c r="AW18" s="75" t="s">
        <v>4161</v>
      </c>
      <c r="AX18" s="75"/>
      <c r="AY18" s="75" t="s">
        <v>4162</v>
      </c>
      <c r="AZ18" s="75"/>
      <c r="BA18" s="75" t="s">
        <v>232</v>
      </c>
    </row>
    <row r="19" spans="2:53" s="8" customFormat="1" ht="30" customHeight="1">
      <c r="B19" s="5" t="s">
        <v>2</v>
      </c>
      <c r="C19" s="453" t="s">
        <v>10</v>
      </c>
      <c r="D19" s="454"/>
      <c r="E19" s="6" t="s">
        <v>34</v>
      </c>
      <c r="F19" s="170" t="s">
        <v>3903</v>
      </c>
      <c r="G19" s="453" t="s">
        <v>233</v>
      </c>
      <c r="H19" s="454"/>
      <c r="I19" s="453" t="s">
        <v>234</v>
      </c>
      <c r="J19" s="455"/>
      <c r="K19" s="453" t="s">
        <v>333</v>
      </c>
      <c r="L19" s="455"/>
      <c r="M19" s="533" t="s">
        <v>3924</v>
      </c>
      <c r="N19" s="533" t="s">
        <v>4007</v>
      </c>
      <c r="O19" s="456" t="s">
        <v>4004</v>
      </c>
      <c r="P19" s="455"/>
      <c r="Q19" s="455"/>
      <c r="R19" s="454"/>
      <c r="S19" s="457" t="s">
        <v>3988</v>
      </c>
      <c r="T19" s="458"/>
      <c r="U19" s="7" t="s">
        <v>4</v>
      </c>
      <c r="AB19" s="122"/>
      <c r="AC19" s="122"/>
      <c r="AD19" s="1"/>
      <c r="AG19" s="1"/>
      <c r="AH19" s="196" t="s">
        <v>497</v>
      </c>
      <c r="AI19" s="1"/>
      <c r="AJ19" s="196" t="s">
        <v>3955</v>
      </c>
      <c r="AK19" s="196" t="s">
        <v>3956</v>
      </c>
      <c r="AL19" s="196" t="s">
        <v>3955</v>
      </c>
      <c r="AM19" s="196" t="s">
        <v>3956</v>
      </c>
      <c r="AN19" s="196" t="s">
        <v>3955</v>
      </c>
      <c r="AO19" s="196" t="s">
        <v>3956</v>
      </c>
      <c r="AS19" s="75"/>
      <c r="AT19" s="75"/>
      <c r="AU19" s="75"/>
      <c r="AV19" s="75"/>
      <c r="AW19" s="75" t="s">
        <v>4160</v>
      </c>
      <c r="AX19" s="75" t="s">
        <v>497</v>
      </c>
      <c r="AY19" s="75" t="s">
        <v>4160</v>
      </c>
      <c r="AZ19" s="75" t="s">
        <v>497</v>
      </c>
      <c r="BA19" s="75"/>
    </row>
    <row r="20" spans="2:53" s="8" customFormat="1" ht="18" customHeight="1">
      <c r="B20" s="5"/>
      <c r="C20" s="7"/>
      <c r="D20" s="5"/>
      <c r="E20" s="6"/>
      <c r="F20" s="170"/>
      <c r="G20" s="7"/>
      <c r="H20" s="5"/>
      <c r="I20" s="7"/>
      <c r="J20" s="250"/>
      <c r="K20" s="7"/>
      <c r="L20" s="250"/>
      <c r="M20" s="533"/>
      <c r="N20" s="533"/>
      <c r="O20" s="456" t="s">
        <v>4005</v>
      </c>
      <c r="P20" s="467"/>
      <c r="Q20" s="467"/>
      <c r="R20" s="468"/>
      <c r="S20" s="9" t="s">
        <v>498</v>
      </c>
      <c r="T20" s="9" t="s">
        <v>3986</v>
      </c>
      <c r="U20" s="7"/>
      <c r="AB20" s="122"/>
      <c r="AC20" s="196" t="s">
        <v>3955</v>
      </c>
      <c r="AD20" s="196" t="s">
        <v>3955</v>
      </c>
      <c r="AG20" s="1"/>
      <c r="AH20" s="196"/>
      <c r="AI20" s="1"/>
      <c r="AJ20" s="196"/>
      <c r="AK20" s="196"/>
      <c r="AL20" s="196"/>
      <c r="AM20" s="196"/>
      <c r="AN20" s="196"/>
      <c r="AO20" s="196"/>
      <c r="AQ20" s="196" t="s">
        <v>4048</v>
      </c>
      <c r="AR20" s="196" t="s">
        <v>4048</v>
      </c>
      <c r="AS20" s="75">
        <v>1</v>
      </c>
      <c r="AT20" s="75">
        <v>2</v>
      </c>
      <c r="AU20" s="75">
        <v>3</v>
      </c>
      <c r="AV20" s="75">
        <v>4</v>
      </c>
      <c r="AW20" s="75">
        <v>5</v>
      </c>
      <c r="AX20" s="75">
        <v>6</v>
      </c>
      <c r="AY20" s="75">
        <v>7</v>
      </c>
      <c r="AZ20" s="75">
        <v>8</v>
      </c>
      <c r="BA20" s="75">
        <v>9</v>
      </c>
    </row>
    <row r="21" spans="2:53" s="8" customFormat="1" ht="19.899999999999999" customHeight="1">
      <c r="B21" s="23"/>
      <c r="C21" s="178"/>
      <c r="D21" s="179"/>
      <c r="E21" s="180"/>
      <c r="F21" s="6"/>
      <c r="G21" s="250"/>
      <c r="H21" s="5"/>
      <c r="I21" s="7"/>
      <c r="J21" s="250"/>
      <c r="K21" s="7"/>
      <c r="L21" s="250"/>
      <c r="M21" s="6"/>
      <c r="N21" s="431" t="s">
        <v>4297</v>
      </c>
      <c r="O21" s="453" t="s">
        <v>4072</v>
      </c>
      <c r="P21" s="455"/>
      <c r="Q21" s="455"/>
      <c r="R21" s="454"/>
      <c r="S21" s="180" t="s">
        <v>30</v>
      </c>
      <c r="T21" s="180" t="s">
        <v>30</v>
      </c>
      <c r="U21" s="171"/>
      <c r="AB21" s="122"/>
      <c r="AC21" s="196" t="s">
        <v>4265</v>
      </c>
      <c r="AD21" s="196" t="s">
        <v>4264</v>
      </c>
      <c r="AG21" s="1"/>
      <c r="AH21" s="196" t="s">
        <v>3928</v>
      </c>
      <c r="AI21" s="196" t="s">
        <v>3930</v>
      </c>
      <c r="AJ21" s="196" t="s">
        <v>3928</v>
      </c>
      <c r="AK21" s="196" t="s">
        <v>3928</v>
      </c>
      <c r="AL21" s="196" t="s">
        <v>3930</v>
      </c>
      <c r="AM21" s="196" t="s">
        <v>3930</v>
      </c>
      <c r="AN21" s="196"/>
      <c r="AO21" s="196"/>
      <c r="AP21" s="196" t="s">
        <v>3914</v>
      </c>
      <c r="AQ21" s="196" t="s">
        <v>3928</v>
      </c>
      <c r="AR21" s="196" t="s">
        <v>3930</v>
      </c>
    </row>
    <row r="22" spans="2:53" ht="75" customHeight="1">
      <c r="B22" s="540" t="s">
        <v>4272</v>
      </c>
      <c r="C22" s="541" t="s">
        <v>4275</v>
      </c>
      <c r="D22" s="542"/>
      <c r="E22" s="218"/>
      <c r="F22" s="348"/>
      <c r="G22" s="538"/>
      <c r="H22" s="538"/>
      <c r="I22" s="543"/>
      <c r="J22" s="543"/>
      <c r="K22" s="543"/>
      <c r="L22" s="543"/>
      <c r="M22" s="349"/>
      <c r="N22" s="349"/>
      <c r="O22" s="538" t="str">
        <f>IF(E22="あり","該当の窓あり","")</f>
        <v/>
      </c>
      <c r="P22" s="538"/>
      <c r="Q22" s="538"/>
      <c r="R22" s="539"/>
      <c r="S22" s="317"/>
      <c r="T22" s="317"/>
      <c r="U22" s="318" t="str">
        <f>IF(E22="","",IF($I$1&lt;&gt;8,"地域に対し入力するシートが違います",IF(E22="なし","該当窓なし","該当窓あり")))</f>
        <v/>
      </c>
      <c r="AB22" s="122"/>
      <c r="AC22" s="411"/>
      <c r="AD22" s="411"/>
      <c r="AE22" s="74" t="str">
        <f>G22&amp;"_"&amp;I22</f>
        <v>_</v>
      </c>
      <c r="AF22" s="74" t="str">
        <f>G22&amp;"_"&amp;I22&amp;"_"&amp;K22</f>
        <v>__</v>
      </c>
      <c r="AG22" s="74">
        <f>I22</f>
        <v>0</v>
      </c>
      <c r="AH22" s="74" t="e">
        <f>VLOOKUP($I$1,'仕様基準-省エネ基準_非表示'!$L$13:$O$13,3,FALSE)</f>
        <v>#N/A</v>
      </c>
      <c r="AJ22" s="196" t="e">
        <f>IF(#REF!="","",IF(#REF!&lt;=AH22,"適合","不適"))</f>
        <v>#REF!</v>
      </c>
      <c r="AK22" s="196" t="e">
        <f>IF(#REF!="","",IF(#REF!&lt;=AH22,"適合","不適"))</f>
        <v>#REF!</v>
      </c>
      <c r="AL22" s="196"/>
      <c r="AM22" s="121"/>
      <c r="AN22" s="121"/>
      <c r="AO22" s="121"/>
      <c r="AP22" s="422">
        <v>0</v>
      </c>
      <c r="AQ22" s="304" t="str">
        <f>IF(F22="","",IF(F22="直接入力",#REF!,#REF!))</f>
        <v/>
      </c>
      <c r="AS22" s="375"/>
      <c r="AT22" s="375"/>
      <c r="AU22" s="375"/>
      <c r="AV22" s="375"/>
      <c r="AW22" s="375"/>
      <c r="AX22" s="375"/>
      <c r="AY22" s="375"/>
      <c r="AZ22" s="375"/>
      <c r="BA22" s="374" t="str">
        <f>IF(E22="","",IF(E22="なし","該当窓なし","該当窓あり"))</f>
        <v/>
      </c>
    </row>
    <row r="23" spans="2:53" ht="75" customHeight="1">
      <c r="B23" s="528"/>
      <c r="C23" s="352" t="s">
        <v>4276</v>
      </c>
      <c r="D23" s="279" t="s">
        <v>4298</v>
      </c>
      <c r="E23" s="217"/>
      <c r="F23" s="221"/>
      <c r="G23" s="451"/>
      <c r="H23" s="466"/>
      <c r="I23" s="451"/>
      <c r="J23" s="466"/>
      <c r="K23" s="451"/>
      <c r="L23" s="466"/>
      <c r="M23" s="220"/>
      <c r="N23" s="215"/>
      <c r="O23" s="451"/>
      <c r="P23" s="452"/>
      <c r="Q23" s="452"/>
      <c r="R23" s="452"/>
      <c r="S23" s="414" t="str">
        <f>IF(F23="直接入力",IF(N23="","",N23),IF(G23="","",IFERROR(IF(M23="日射取得型",VLOOKUP(AF23,窓のプルダウン_非表示!$Q$7:$U$61,3,FALSE),IF(M23="日射遮蔽型",VLOOKUP(AF23,窓のプルダウン_非表示!$Q$7:$U$61,4,FALSE),IF(M23="－",VLOOKUP(AF23,窓のプルダウン_非表示!$Q$7:$U$61,5,FALSE),"エラー！選択肢チェック参照"))),"エラー！選択肢チェック参照")))</f>
        <v/>
      </c>
      <c r="T23" s="415" t="str">
        <f>IFERROR(IF(F23="直接入力",IF(N23="","","≦"&amp;" "&amp;AI23),IF(ISNUMBER(S23),"≦"&amp;" "&amp;AI23,"")),"エラー")</f>
        <v/>
      </c>
      <c r="U23" s="318" t="str">
        <f>IF(E23="","",IF($I$1&lt;&gt;8,"地域に対し入力するシートが違います",IF(E23="なし","該当窓なし",IF(F23="直接入力",AL23,IF(F23="建具とガラスの組み合わせから入力",AM23,"")))))</f>
        <v/>
      </c>
      <c r="AB23" s="169"/>
      <c r="AC23" s="169"/>
      <c r="AD23" s="304" t="str">
        <f>IF(N23="","",ROUND(N23,2))</f>
        <v/>
      </c>
      <c r="AE23" s="74" t="str">
        <f>G23&amp;"_"&amp;I23</f>
        <v>_</v>
      </c>
      <c r="AF23" s="74" t="str">
        <f>G23&amp;"_"&amp;I23&amp;"_"&amp;K23</f>
        <v>__</v>
      </c>
      <c r="AG23" s="74">
        <f>I23</f>
        <v>0</v>
      </c>
      <c r="AH23" s="74" t="e">
        <f>VLOOKUP($I$1,'仕様基準-省エネ基準_非表示'!$L$13:$O$13,3,FALSE)</f>
        <v>#N/A</v>
      </c>
      <c r="AI23" s="74" t="e">
        <f>VLOOKUP($I$1,'仕様基準-省エネ基準_非表示'!$L$13:$O$13,4,FALSE)</f>
        <v>#N/A</v>
      </c>
      <c r="AJ23" s="196" t="e">
        <f>IF(#REF!="","",IF(#REF!&lt;=AH23,"適合","不適"))</f>
        <v>#REF!</v>
      </c>
      <c r="AK23" s="196" t="e">
        <f>IF(#REF!="","",IF(#REF!&lt;=AH23,"適合","不適"))</f>
        <v>#REF!</v>
      </c>
      <c r="AL23" s="196" t="str">
        <f>IF(N23="","",IF(AD23&lt;=AI23,"適合","不適"))</f>
        <v/>
      </c>
      <c r="AM23" s="196" t="str">
        <f>IF(T23="","",IF(S23&lt;=AI23,"適合","不適"))</f>
        <v/>
      </c>
      <c r="AN23" s="196" t="e">
        <f>IF(AND(#REF!="",N23=""),"",IF(AND(AJ23="適合",AL23="適合"),"適合","不適"))</f>
        <v>#REF!</v>
      </c>
      <c r="AO23" s="196" t="e">
        <f>IF(AND(#REF!="",T23=""),"",IF(AND(AK23="適合",AM23="適合"),"適合","不適"))</f>
        <v>#REF!</v>
      </c>
      <c r="AP23" s="422">
        <f>IF(E23="あり",IF(U23="適合",0,1),0)</f>
        <v>0</v>
      </c>
      <c r="AQ23" s="304" t="str">
        <f>IF(F23="","",IF(F23="直接入力",#REF!,#REF!))</f>
        <v/>
      </c>
      <c r="AR23" s="304" t="str">
        <f>IF(F23="","",IF(F23="直接入力",N23,S23))</f>
        <v/>
      </c>
      <c r="AS23" s="374" t="str">
        <f t="shared" ref="AS23" si="9">IF(OR(E23="",E23="なし"),"－",IF(F23="直接入力","－",G23))</f>
        <v>－</v>
      </c>
      <c r="AT23" s="374" t="str">
        <f t="shared" ref="AT23" si="10">IF(OR(E23="",E23="なし"),"－",IF(F23="直接入力","－",I23))</f>
        <v>－</v>
      </c>
      <c r="AU23" s="374" t="str">
        <f>IF(OR(E23="",E23="なし"),"－",IF(F23="直接入力","－",K23))</f>
        <v>－</v>
      </c>
      <c r="AV23" s="374" t="str">
        <f>IF(OR(E23="",E23="なし"),"－",IF(F23="直接入力","－",M23))</f>
        <v>－</v>
      </c>
      <c r="AW23" s="375"/>
      <c r="AX23" s="375"/>
      <c r="AY23" s="374" t="str">
        <f>IF(OR(E23="",E23="なし"),"－",S23)</f>
        <v>－</v>
      </c>
      <c r="AZ23" s="374" t="str">
        <f>IF(OR(E23="",E23="なし"),"－",AI23)</f>
        <v>－</v>
      </c>
      <c r="BA23" s="374" t="str">
        <f>IF(E23="","－",IF(E23="なし","該当窓なし",IF(O23="","－",O23)))</f>
        <v>－</v>
      </c>
    </row>
    <row r="24" spans="2:53" ht="15.75" customHeight="1">
      <c r="B24" s="154" t="s">
        <v>4271</v>
      </c>
      <c r="C24" s="315"/>
      <c r="D24" s="315"/>
      <c r="F24" s="277"/>
      <c r="G24" s="277"/>
      <c r="H24" s="277"/>
      <c r="I24" s="315"/>
      <c r="J24" s="315"/>
      <c r="K24" s="315"/>
      <c r="L24" s="315"/>
      <c r="M24" s="315"/>
      <c r="N24" s="121"/>
      <c r="O24" s="121"/>
      <c r="P24" s="277"/>
      <c r="Q24" s="277"/>
      <c r="R24" s="277"/>
      <c r="S24" s="277"/>
      <c r="T24" s="316"/>
      <c r="U24" s="276"/>
      <c r="V24" s="277"/>
      <c r="W24" s="276"/>
      <c r="X24" s="121"/>
      <c r="Y24" s="8"/>
      <c r="Z24" s="8"/>
      <c r="AA24" s="8"/>
      <c r="AB24" s="169"/>
      <c r="AC24" s="169"/>
      <c r="AE24" s="74"/>
      <c r="AF24" s="74"/>
      <c r="AG24" s="74"/>
      <c r="AH24" s="74"/>
      <c r="AI24" s="74"/>
      <c r="AJ24" s="196"/>
      <c r="AK24" s="196"/>
      <c r="AL24" s="196"/>
      <c r="AM24" s="196"/>
      <c r="AN24" s="196"/>
      <c r="AO24" s="196"/>
      <c r="AP24" s="213"/>
    </row>
    <row r="25" spans="2:53" ht="15.75" customHeight="1">
      <c r="B25" s="154" t="s">
        <v>4273</v>
      </c>
      <c r="C25" s="315"/>
      <c r="D25" s="315"/>
      <c r="F25" s="277"/>
      <c r="G25" s="277"/>
      <c r="H25" s="277"/>
      <c r="I25" s="315"/>
      <c r="J25" s="315"/>
      <c r="K25" s="315"/>
      <c r="L25" s="315"/>
      <c r="M25" s="315"/>
      <c r="N25" s="121"/>
      <c r="O25" s="121"/>
      <c r="P25" s="277"/>
      <c r="Q25" s="277"/>
      <c r="R25" s="277"/>
      <c r="S25" s="277"/>
      <c r="T25" s="316"/>
      <c r="U25" s="276"/>
      <c r="V25" s="277"/>
      <c r="W25" s="276"/>
      <c r="X25" s="121"/>
      <c r="Y25" s="8"/>
      <c r="Z25" s="8"/>
      <c r="AA25" s="8"/>
      <c r="AB25" s="169"/>
      <c r="AC25" s="169"/>
      <c r="AE25" s="74"/>
      <c r="AF25" s="74"/>
      <c r="AG25" s="74"/>
      <c r="AH25" s="74"/>
      <c r="AI25" s="74"/>
      <c r="AJ25" s="196"/>
      <c r="AK25" s="196"/>
      <c r="AL25" s="196"/>
      <c r="AM25" s="196"/>
      <c r="AN25" s="196"/>
      <c r="AO25" s="196"/>
      <c r="AP25" s="213"/>
    </row>
    <row r="26" spans="2:53" ht="15.75" customHeight="1">
      <c r="B26" s="154" t="s">
        <v>4274</v>
      </c>
      <c r="C26" s="315"/>
      <c r="D26" s="315"/>
      <c r="F26" s="277"/>
      <c r="G26" s="277"/>
      <c r="H26" s="277"/>
      <c r="I26" s="315"/>
      <c r="J26" s="315"/>
      <c r="K26" s="315"/>
      <c r="L26" s="315"/>
      <c r="M26" s="315"/>
      <c r="N26" s="121"/>
      <c r="O26" s="121"/>
      <c r="P26" s="277"/>
      <c r="Q26" s="277"/>
      <c r="R26" s="277"/>
      <c r="S26" s="277"/>
      <c r="T26" s="316"/>
      <c r="U26" s="276"/>
      <c r="V26" s="277"/>
      <c r="W26" s="276"/>
      <c r="X26" s="121"/>
      <c r="Y26" s="8"/>
      <c r="Z26" s="8"/>
      <c r="AA26" s="8"/>
      <c r="AB26" s="169"/>
      <c r="AC26" s="169"/>
      <c r="AE26" s="74"/>
      <c r="AF26" s="74"/>
      <c r="AG26" s="74"/>
      <c r="AH26" s="74"/>
      <c r="AI26" s="74"/>
      <c r="AJ26" s="196"/>
      <c r="AK26" s="196"/>
      <c r="AL26" s="196"/>
      <c r="AM26" s="196"/>
      <c r="AN26" s="196"/>
      <c r="AO26" s="196"/>
      <c r="AP26" s="213"/>
    </row>
    <row r="27" spans="2:53">
      <c r="O27" s="122"/>
      <c r="AD27" s="8"/>
    </row>
    <row r="28" spans="2:53" ht="72" customHeight="1">
      <c r="X28" s="8"/>
      <c r="Y28" s="8"/>
      <c r="Z28" s="8"/>
      <c r="AA28" s="8"/>
      <c r="AD28" s="8"/>
    </row>
    <row r="29" spans="2:53">
      <c r="AC29" s="8"/>
    </row>
    <row r="31" spans="2:53" ht="108" customHeight="1">
      <c r="AP31" s="196" t="s">
        <v>3914</v>
      </c>
    </row>
    <row r="32" spans="2:53" ht="30" customHeight="1">
      <c r="B32" s="235"/>
      <c r="C32" s="14"/>
      <c r="D32" s="18" t="s">
        <v>4074</v>
      </c>
      <c r="E32" s="18"/>
      <c r="F32" s="18" t="s">
        <v>22</v>
      </c>
      <c r="G32" s="18"/>
      <c r="H32" s="18"/>
      <c r="I32" s="18"/>
      <c r="J32" s="18"/>
      <c r="K32" s="18"/>
      <c r="L32" s="18"/>
      <c r="M32" s="18"/>
      <c r="N32" s="18"/>
      <c r="AE32" s="241" t="b">
        <v>0</v>
      </c>
      <c r="AI32" s="247" t="s">
        <v>3980</v>
      </c>
      <c r="AJ32" s="244">
        <f>N(AE32)</f>
        <v>0</v>
      </c>
      <c r="AM32" s="196" t="s">
        <v>4054</v>
      </c>
      <c r="AN32" s="360" t="str" cm="1">
        <f t="array" ref="AN32">IFERROR(_xlfn.IFS(AJ32=1,"住戸全体を暖房",AJ33=1,D33,AJ38=1,D38),"")</f>
        <v/>
      </c>
      <c r="AO32" s="365" cm="1">
        <f t="array" ref="AO32">IFERROR(_xlfn.IFS(AJ32=1,0,AJ33=1,IF(AND(AO33=0,AO34=0),0,1),AJ38=1,0),1)</f>
        <v>1</v>
      </c>
      <c r="AP32" s="423">
        <f>AO32+AO40+AO45+AO50</f>
        <v>4</v>
      </c>
      <c r="AQ32" s="74" t="s">
        <v>4083</v>
      </c>
      <c r="AR32" s="74" t="str" cm="1">
        <f t="array" ref="AR32">IFERROR(IF(AJ33=1,_xlfn.IFS(AJ34=1,G34,AJ35=1,G35),""),"")</f>
        <v/>
      </c>
      <c r="AS32" s="75" t="s">
        <v>44</v>
      </c>
      <c r="AT32" s="75" t="s">
        <v>45</v>
      </c>
      <c r="AU32" s="382" t="str">
        <f>AN32</f>
        <v/>
      </c>
    </row>
    <row r="33" spans="2:47" ht="30" customHeight="1">
      <c r="B33" s="234" t="s">
        <v>3978</v>
      </c>
      <c r="C33" s="15"/>
      <c r="D33" s="16" t="s">
        <v>4075</v>
      </c>
      <c r="E33" s="18"/>
      <c r="F33" s="18"/>
      <c r="G33" s="18"/>
      <c r="H33" s="18"/>
      <c r="I33" s="18"/>
      <c r="J33" s="18"/>
      <c r="K33" s="18"/>
      <c r="L33" s="18"/>
      <c r="M33" s="18"/>
      <c r="N33" s="18"/>
      <c r="AE33" s="223" t="b">
        <v>0</v>
      </c>
      <c r="AI33" s="193"/>
      <c r="AJ33" s="245">
        <f>N(AE33)</f>
        <v>0</v>
      </c>
      <c r="AM33" s="196" t="s">
        <v>4087</v>
      </c>
      <c r="AN33" s="360" t="str" cm="1">
        <f t="array" ref="AN33">IFERROR(_xlfn.IFS(AJ32=1,F32,AJ33=1,AQ32&amp;AR32&amp;CHAR(10)&amp;AQ33&amp;AR33,AJ38=1,"－"),"")</f>
        <v/>
      </c>
      <c r="AO33" s="213">
        <f>IF(OR(AJ34=1,AJ35=1),0,1)</f>
        <v>1</v>
      </c>
      <c r="AQ33" s="74" t="s">
        <v>4084</v>
      </c>
      <c r="AR33" s="74" t="str" cm="1">
        <f t="array" ref="AR33">IFERROR(IF(AJ33=1,_xlfn.IFS(AJ36=1,G36,AJ37=1,G37),""),"")</f>
        <v/>
      </c>
      <c r="AS33" s="75"/>
      <c r="AT33" s="196" t="s">
        <v>4087</v>
      </c>
      <c r="AU33" s="382" t="str">
        <f>AN33</f>
        <v/>
      </c>
    </row>
    <row r="34" spans="2:47" ht="30" customHeight="1">
      <c r="B34" s="361"/>
      <c r="C34" s="15"/>
      <c r="D34" s="232"/>
      <c r="E34" s="16" t="s">
        <v>4083</v>
      </c>
      <c r="F34" s="232"/>
      <c r="G34" s="18" t="s">
        <v>3968</v>
      </c>
      <c r="H34" s="18"/>
      <c r="I34" s="18"/>
      <c r="J34" s="18"/>
      <c r="K34" s="18"/>
      <c r="L34" s="18"/>
      <c r="M34" s="18"/>
      <c r="N34" s="18"/>
      <c r="AE34" s="223"/>
      <c r="AF34" s="222" t="b">
        <v>0</v>
      </c>
      <c r="AI34" s="193"/>
      <c r="AJ34" s="245">
        <f>N(AF34)</f>
        <v>0</v>
      </c>
      <c r="AM34" s="196"/>
      <c r="AN34" s="74"/>
      <c r="AO34" s="213">
        <f>IF(OR(AJ36=1,AJ37=1),0,1)</f>
        <v>1</v>
      </c>
      <c r="AS34" s="75"/>
      <c r="AT34" s="75" t="s">
        <v>3991</v>
      </c>
      <c r="AU34" s="382" t="str">
        <f>IF(D49="","",D49)</f>
        <v/>
      </c>
    </row>
    <row r="35" spans="2:47" ht="30" customHeight="1">
      <c r="B35" s="361"/>
      <c r="C35" s="15"/>
      <c r="D35" s="232"/>
      <c r="E35" s="232"/>
      <c r="F35" s="20"/>
      <c r="G35" s="212" t="s">
        <v>4281</v>
      </c>
      <c r="H35" s="18"/>
      <c r="I35" s="18"/>
      <c r="J35" s="18"/>
      <c r="K35" s="18"/>
      <c r="L35" s="18"/>
      <c r="M35" s="18"/>
      <c r="N35" s="18"/>
      <c r="AE35" s="223"/>
      <c r="AF35" s="223" t="b">
        <v>0</v>
      </c>
      <c r="AI35" s="193"/>
      <c r="AJ35" s="245">
        <f>N(AF35)</f>
        <v>0</v>
      </c>
      <c r="AK35" s="357" t="s">
        <v>4164</v>
      </c>
      <c r="AM35" s="196"/>
      <c r="AN35" s="74"/>
      <c r="AS35" s="75" t="s">
        <v>46</v>
      </c>
      <c r="AT35" s="75" t="s">
        <v>4042</v>
      </c>
      <c r="AU35" s="371" t="str">
        <f>AN32</f>
        <v/>
      </c>
    </row>
    <row r="36" spans="2:47" ht="30" customHeight="1">
      <c r="B36" s="361"/>
      <c r="C36" s="15"/>
      <c r="D36" s="232"/>
      <c r="E36" s="16" t="s">
        <v>4084</v>
      </c>
      <c r="F36" s="232"/>
      <c r="G36" s="18" t="s">
        <v>3968</v>
      </c>
      <c r="H36" s="18"/>
      <c r="I36" s="18"/>
      <c r="J36" s="18"/>
      <c r="K36" s="18"/>
      <c r="L36" s="18"/>
      <c r="M36" s="18"/>
      <c r="N36" s="18"/>
      <c r="AE36" s="223"/>
      <c r="AF36" s="223" t="b">
        <v>0</v>
      </c>
      <c r="AI36" s="193"/>
      <c r="AJ36" s="245">
        <f>N(AF36)</f>
        <v>0</v>
      </c>
      <c r="AM36" s="196"/>
      <c r="AN36" s="74"/>
      <c r="AS36" s="75"/>
      <c r="AT36" s="196" t="s">
        <v>4087</v>
      </c>
      <c r="AU36" s="371" t="str">
        <f>AN33</f>
        <v/>
      </c>
    </row>
    <row r="37" spans="2:47" ht="30" customHeight="1">
      <c r="B37" s="361"/>
      <c r="C37" s="15"/>
      <c r="D37" s="232"/>
      <c r="E37" s="232"/>
      <c r="F37" s="20"/>
      <c r="G37" s="212" t="s">
        <v>4281</v>
      </c>
      <c r="H37" s="18"/>
      <c r="I37" s="18"/>
      <c r="J37" s="18"/>
      <c r="K37" s="18"/>
      <c r="L37" s="18"/>
      <c r="M37" s="18"/>
      <c r="N37" s="18"/>
      <c r="AE37" s="223"/>
      <c r="AF37" s="224" t="b">
        <v>0</v>
      </c>
      <c r="AI37" s="193"/>
      <c r="AJ37" s="245">
        <f>N(AF37)</f>
        <v>0</v>
      </c>
      <c r="AK37" s="357" t="s">
        <v>4164</v>
      </c>
      <c r="AM37" s="196"/>
      <c r="AN37" s="74"/>
      <c r="AS37" s="75"/>
      <c r="AT37" s="75" t="s">
        <v>3991</v>
      </c>
      <c r="AU37" s="371" t="str">
        <f>IF(D39="",IF(OR(AJ38=1,AND(AJ35=1,AJ37=1)),"－",""),D39)</f>
        <v/>
      </c>
    </row>
    <row r="38" spans="2:47" ht="30" customHeight="1">
      <c r="B38" s="238" t="s">
        <v>27</v>
      </c>
      <c r="C38" s="15"/>
      <c r="D38" s="212" t="s">
        <v>4282</v>
      </c>
      <c r="E38" s="18"/>
      <c r="F38" s="20"/>
      <c r="G38" s="20"/>
      <c r="H38" s="20"/>
      <c r="I38" s="20"/>
      <c r="J38" s="20"/>
      <c r="K38" s="20"/>
      <c r="L38" s="18"/>
      <c r="M38" s="18"/>
      <c r="N38" s="18"/>
      <c r="AE38" s="243" t="b">
        <v>0</v>
      </c>
      <c r="AI38" s="193"/>
      <c r="AJ38" s="246">
        <f>N(AE38)</f>
        <v>0</v>
      </c>
      <c r="AK38" s="357" t="s">
        <v>4164</v>
      </c>
      <c r="AS38" s="75" t="s">
        <v>47</v>
      </c>
      <c r="AT38" s="75" t="s">
        <v>48</v>
      </c>
      <c r="AU38" s="381" t="str">
        <f>AN40</f>
        <v/>
      </c>
    </row>
    <row r="39" spans="2:47" ht="48" customHeight="1">
      <c r="B39" s="237"/>
      <c r="C39" s="252" t="s">
        <v>232</v>
      </c>
      <c r="D39" s="442"/>
      <c r="E39" s="442"/>
      <c r="F39" s="442"/>
      <c r="G39" s="442"/>
      <c r="H39" s="442"/>
      <c r="I39" s="442"/>
      <c r="J39" s="442"/>
      <c r="K39" s="442"/>
      <c r="L39" s="442"/>
      <c r="M39" s="442"/>
      <c r="N39" s="442"/>
      <c r="AE39" s="242"/>
      <c r="AI39" s="193"/>
      <c r="AJ39" s="302"/>
      <c r="AS39" s="75"/>
      <c r="AT39" s="75" t="s">
        <v>3991</v>
      </c>
      <c r="AU39" s="371" t="str">
        <f>IF(D44="","",D44)</f>
        <v/>
      </c>
    </row>
    <row r="40" spans="2:47" ht="30" customHeight="1">
      <c r="B40" s="17"/>
      <c r="C40" s="14"/>
      <c r="D40" s="18" t="s">
        <v>492</v>
      </c>
      <c r="E40" s="18"/>
      <c r="F40" s="18"/>
      <c r="G40" s="18"/>
      <c r="H40" s="18"/>
      <c r="I40" s="18"/>
      <c r="J40" s="18"/>
      <c r="K40" s="18"/>
      <c r="L40" s="18"/>
      <c r="M40" s="18"/>
      <c r="N40" s="18"/>
      <c r="AE40" s="222" t="b">
        <v>0</v>
      </c>
      <c r="AI40" s="247" t="s">
        <v>3981</v>
      </c>
      <c r="AJ40" s="245">
        <f>N(AE40)</f>
        <v>0</v>
      </c>
      <c r="AM40" s="196" t="s">
        <v>4053</v>
      </c>
      <c r="AN40" s="360" t="str" cm="1">
        <f t="array" ref="AN40">IFERROR(_xlfn.IFS(AJ40=1,D40,AJ41=1,D41,AJ42=1,D42,AJ43=1,D43),"")</f>
        <v/>
      </c>
      <c r="AO40" s="365">
        <f>IF(SUM(AJ40:AJ43)=0,1,0)</f>
        <v>1</v>
      </c>
      <c r="AS40" s="75" t="s">
        <v>49</v>
      </c>
      <c r="AT40" s="75" t="s">
        <v>50</v>
      </c>
      <c r="AU40" s="381" t="str">
        <f>AN45</f>
        <v/>
      </c>
    </row>
    <row r="41" spans="2:47" ht="30" customHeight="1">
      <c r="B41" s="19"/>
      <c r="C41" s="15"/>
      <c r="D41" s="18" t="s">
        <v>26</v>
      </c>
      <c r="E41" s="18"/>
      <c r="F41" s="18"/>
      <c r="G41" s="18"/>
      <c r="H41" s="18"/>
      <c r="I41" s="18"/>
      <c r="J41" s="18"/>
      <c r="K41" s="18"/>
      <c r="L41" s="18"/>
      <c r="M41" s="18"/>
      <c r="N41" s="18"/>
      <c r="AE41" s="223" t="b">
        <v>0</v>
      </c>
      <c r="AI41" s="193"/>
      <c r="AJ41" s="245">
        <f>N(AE41)</f>
        <v>0</v>
      </c>
      <c r="AS41" s="75"/>
      <c r="AT41" s="75" t="s">
        <v>3991</v>
      </c>
      <c r="AU41" s="371" t="str">
        <f>IF(D49="",IF(AJ48=1,"－",""),D49)</f>
        <v/>
      </c>
    </row>
    <row r="42" spans="2:47" ht="30" customHeight="1">
      <c r="B42" s="19" t="s">
        <v>25</v>
      </c>
      <c r="C42" s="15"/>
      <c r="D42" s="18" t="s">
        <v>3969</v>
      </c>
      <c r="E42" s="232"/>
      <c r="F42" s="232"/>
      <c r="G42" s="232"/>
      <c r="H42" s="232"/>
      <c r="I42" s="232"/>
      <c r="J42" s="232"/>
      <c r="K42" s="232"/>
      <c r="L42" s="18"/>
      <c r="M42" s="18"/>
      <c r="N42" s="18"/>
      <c r="AE42" s="223" t="b">
        <v>0</v>
      </c>
      <c r="AI42" s="193"/>
      <c r="AJ42" s="245">
        <f>N(AE42)</f>
        <v>0</v>
      </c>
      <c r="AS42" s="75" t="s">
        <v>3967</v>
      </c>
      <c r="AT42" s="75" t="s">
        <v>51</v>
      </c>
      <c r="AU42" s="381" t="str">
        <f>AN50</f>
        <v/>
      </c>
    </row>
    <row r="43" spans="2:47" ht="30" customHeight="1">
      <c r="B43" s="238" t="s">
        <v>27</v>
      </c>
      <c r="C43" s="15"/>
      <c r="D43" s="20" t="s">
        <v>3970</v>
      </c>
      <c r="E43" s="18"/>
      <c r="F43" s="18"/>
      <c r="G43" s="18"/>
      <c r="H43" s="18"/>
      <c r="I43" s="18"/>
      <c r="J43" s="18"/>
      <c r="K43" s="18"/>
      <c r="L43" s="18"/>
      <c r="M43" s="18"/>
      <c r="N43" s="18"/>
      <c r="AE43" s="224" t="b">
        <v>0</v>
      </c>
      <c r="AI43" s="193"/>
      <c r="AJ43" s="246">
        <f>N(AE43)</f>
        <v>0</v>
      </c>
      <c r="AS43" s="75"/>
      <c r="AT43" s="75" t="s">
        <v>3991</v>
      </c>
      <c r="AU43" s="371" t="str">
        <f>IF(D52="",IF(AJ51=1,"－",""),D52)</f>
        <v/>
      </c>
    </row>
    <row r="44" spans="2:47" ht="48" customHeight="1">
      <c r="B44" s="237"/>
      <c r="C44" s="253" t="s">
        <v>232</v>
      </c>
      <c r="D44" s="442"/>
      <c r="E44" s="442"/>
      <c r="F44" s="442"/>
      <c r="G44" s="442"/>
      <c r="H44" s="442"/>
      <c r="I44" s="442"/>
      <c r="J44" s="442"/>
      <c r="K44" s="442"/>
      <c r="L44" s="442"/>
      <c r="M44" s="442"/>
      <c r="N44" s="442"/>
      <c r="AE44" s="242"/>
      <c r="AI44" s="193"/>
      <c r="AJ44" s="302"/>
    </row>
    <row r="45" spans="2:47" ht="30" customHeight="1">
      <c r="B45" s="17"/>
      <c r="C45" s="14"/>
      <c r="D45" s="212" t="s">
        <v>3953</v>
      </c>
      <c r="E45" s="18"/>
      <c r="F45" s="18"/>
      <c r="G45" s="18"/>
      <c r="H45" s="18"/>
      <c r="I45" s="18"/>
      <c r="J45" s="18"/>
      <c r="K45" s="18"/>
      <c r="L45" s="18"/>
      <c r="M45" s="18"/>
      <c r="N45" s="18"/>
      <c r="AE45" s="222" t="b">
        <v>0</v>
      </c>
      <c r="AI45" s="247" t="s">
        <v>3982</v>
      </c>
      <c r="AJ45" s="245">
        <f>N(AE45)</f>
        <v>0</v>
      </c>
      <c r="AM45" s="196" t="s">
        <v>3982</v>
      </c>
      <c r="AN45" s="360" t="str" cm="1">
        <f t="array" ref="AN45">IFERROR(_xlfn.IFS(AJ45=1,D45,AJ46=1,D46,AJ47=1,D47,AJ48=1,D48),"")</f>
        <v/>
      </c>
      <c r="AO45" s="365">
        <f>IF(SUM(AJ45:AJ48)=0,1,0)</f>
        <v>1</v>
      </c>
    </row>
    <row r="46" spans="2:47" ht="30" customHeight="1">
      <c r="B46" s="19"/>
      <c r="C46" s="15"/>
      <c r="D46" s="212" t="s">
        <v>3954</v>
      </c>
      <c r="E46" s="232"/>
      <c r="F46" s="232"/>
      <c r="G46" s="232"/>
      <c r="H46" s="232"/>
      <c r="I46" s="232"/>
      <c r="J46" s="232"/>
      <c r="K46" s="232"/>
      <c r="L46" s="18"/>
      <c r="M46" s="18"/>
      <c r="N46" s="18"/>
      <c r="AE46" s="223" t="b">
        <v>0</v>
      </c>
      <c r="AI46" s="193"/>
      <c r="AJ46" s="245">
        <f>N(AE46)</f>
        <v>0</v>
      </c>
    </row>
    <row r="47" spans="2:47" ht="30" customHeight="1">
      <c r="B47" s="19" t="s">
        <v>28</v>
      </c>
      <c r="C47" s="15"/>
      <c r="D47" s="18" t="s">
        <v>38</v>
      </c>
      <c r="E47" s="18"/>
      <c r="F47" s="18"/>
      <c r="G47" s="18"/>
      <c r="H47" s="18"/>
      <c r="I47" s="18"/>
      <c r="J47" s="18"/>
      <c r="K47" s="18"/>
      <c r="L47" s="18"/>
      <c r="M47" s="233"/>
      <c r="N47" s="233"/>
      <c r="O47" s="22"/>
      <c r="P47" s="22"/>
      <c r="AE47" s="223" t="b">
        <v>0</v>
      </c>
      <c r="AI47" s="193"/>
      <c r="AJ47" s="245">
        <f>N(AE47)</f>
        <v>0</v>
      </c>
    </row>
    <row r="48" spans="2:47" ht="30" customHeight="1">
      <c r="B48" s="239" t="s">
        <v>27</v>
      </c>
      <c r="C48" s="15"/>
      <c r="D48" s="212" t="s">
        <v>4282</v>
      </c>
      <c r="E48" s="20"/>
      <c r="F48" s="18"/>
      <c r="G48" s="18"/>
      <c r="H48" s="18"/>
      <c r="I48" s="18"/>
      <c r="J48" s="18"/>
      <c r="K48" s="18"/>
      <c r="L48" s="18"/>
      <c r="M48" s="18"/>
      <c r="N48" s="18"/>
      <c r="AE48" s="224" t="b">
        <v>0</v>
      </c>
      <c r="AI48" s="193"/>
      <c r="AJ48" s="246">
        <f>N(AE48)</f>
        <v>0</v>
      </c>
    </row>
    <row r="49" spans="2:41" ht="48" customHeight="1">
      <c r="B49" s="237"/>
      <c r="C49" s="253" t="s">
        <v>232</v>
      </c>
      <c r="D49" s="442"/>
      <c r="E49" s="442"/>
      <c r="F49" s="442"/>
      <c r="G49" s="442"/>
      <c r="H49" s="442"/>
      <c r="I49" s="442"/>
      <c r="J49" s="442"/>
      <c r="K49" s="442"/>
      <c r="L49" s="442"/>
      <c r="M49" s="442"/>
      <c r="N49" s="442"/>
      <c r="AE49" s="242"/>
      <c r="AI49" s="193"/>
      <c r="AJ49" s="245"/>
    </row>
    <row r="50" spans="2:41" ht="30" customHeight="1">
      <c r="B50" s="443" t="s">
        <v>3984</v>
      </c>
      <c r="C50" s="15"/>
      <c r="D50" s="20" t="s">
        <v>3971</v>
      </c>
      <c r="E50" s="18"/>
      <c r="F50" s="18"/>
      <c r="G50" s="18"/>
      <c r="H50" s="18"/>
      <c r="I50" s="18"/>
      <c r="J50" s="18"/>
      <c r="K50" s="18"/>
      <c r="L50" s="18"/>
      <c r="M50" s="18"/>
      <c r="N50" s="18"/>
      <c r="AE50" s="222" t="b">
        <v>0</v>
      </c>
      <c r="AI50" s="247" t="s">
        <v>3983</v>
      </c>
      <c r="AJ50" s="244">
        <f>N(AE50)</f>
        <v>0</v>
      </c>
      <c r="AM50" s="196" t="s">
        <v>3983</v>
      </c>
      <c r="AN50" s="360" t="str" cm="1">
        <f t="array" ref="AN50">IFERROR(_xlfn.IFS(AJ50=1,D50,AJ51=1,D51),"")</f>
        <v/>
      </c>
      <c r="AO50" s="365">
        <f>IF(SUM(AJ50:AJ51)=0,1,0)</f>
        <v>1</v>
      </c>
    </row>
    <row r="51" spans="2:41" ht="30" customHeight="1">
      <c r="B51" s="444"/>
      <c r="C51" s="15"/>
      <c r="D51" s="212" t="s">
        <v>4282</v>
      </c>
      <c r="E51" s="18"/>
      <c r="F51" s="18"/>
      <c r="G51" s="18"/>
      <c r="H51" s="18"/>
      <c r="I51" s="18"/>
      <c r="J51" s="18"/>
      <c r="K51" s="18"/>
      <c r="L51" s="18"/>
      <c r="M51" s="18"/>
      <c r="N51" s="18"/>
      <c r="AE51" s="224" t="b">
        <v>0</v>
      </c>
      <c r="AI51" s="193"/>
      <c r="AJ51" s="246">
        <f>N(AE51)</f>
        <v>0</v>
      </c>
    </row>
    <row r="52" spans="2:41" ht="48" customHeight="1">
      <c r="B52" s="445"/>
      <c r="C52" s="253" t="s">
        <v>232</v>
      </c>
      <c r="D52" s="442"/>
      <c r="E52" s="442"/>
      <c r="F52" s="442"/>
      <c r="G52" s="442"/>
      <c r="H52" s="442"/>
      <c r="I52" s="442"/>
      <c r="J52" s="442"/>
      <c r="K52" s="442"/>
      <c r="L52" s="442"/>
      <c r="M52" s="442"/>
      <c r="N52" s="442"/>
      <c r="AE52" s="242"/>
      <c r="AI52" s="193"/>
      <c r="AJ52" s="245"/>
    </row>
  </sheetData>
  <sheetProtection algorithmName="SHA-512" hashValue="ykLaA5vFXZIH0HGzyNqRZPG860NPvLWtpydvsGtFel3gAoPSyb2vvNyNJbfs7izOFfl6PftXIzr+NhtCS9tFtg==" saltValue="PEsi54fLpZ+QT7wGy/Fpyw==" spinCount="100000" sheet="1" formatCells="0" selectLockedCells="1"/>
  <mergeCells count="56">
    <mergeCell ref="O23:R23"/>
    <mergeCell ref="B50:B52"/>
    <mergeCell ref="D39:N39"/>
    <mergeCell ref="D44:N44"/>
    <mergeCell ref="D49:N49"/>
    <mergeCell ref="D52:N52"/>
    <mergeCell ref="B22:B23"/>
    <mergeCell ref="G23:H23"/>
    <mergeCell ref="I23:J23"/>
    <mergeCell ref="K23:L23"/>
    <mergeCell ref="C22:D22"/>
    <mergeCell ref="G22:H22"/>
    <mergeCell ref="I22:J22"/>
    <mergeCell ref="K22:L22"/>
    <mergeCell ref="S19:T19"/>
    <mergeCell ref="O20:R20"/>
    <mergeCell ref="O21:R21"/>
    <mergeCell ref="N19:N20"/>
    <mergeCell ref="O22:R22"/>
    <mergeCell ref="C19:D19"/>
    <mergeCell ref="G19:H19"/>
    <mergeCell ref="I19:J19"/>
    <mergeCell ref="K19:L19"/>
    <mergeCell ref="O18:R18"/>
    <mergeCell ref="M19:M20"/>
    <mergeCell ref="O19:R19"/>
    <mergeCell ref="G18:H18"/>
    <mergeCell ref="I18:J18"/>
    <mergeCell ref="K18:L18"/>
    <mergeCell ref="F14:G14"/>
    <mergeCell ref="L14:O14"/>
    <mergeCell ref="G17:H17"/>
    <mergeCell ref="I17:J17"/>
    <mergeCell ref="K17:L17"/>
    <mergeCell ref="F8:G8"/>
    <mergeCell ref="F9:G9"/>
    <mergeCell ref="L9:O9"/>
    <mergeCell ref="L10:O10"/>
    <mergeCell ref="L11:O11"/>
    <mergeCell ref="P9:Q10"/>
    <mergeCell ref="R10:R11"/>
    <mergeCell ref="L12:O12"/>
    <mergeCell ref="F13:G13"/>
    <mergeCell ref="L13:O13"/>
    <mergeCell ref="B10:B11"/>
    <mergeCell ref="E10:E11"/>
    <mergeCell ref="F10:G11"/>
    <mergeCell ref="H10:H11"/>
    <mergeCell ref="I10:I11"/>
    <mergeCell ref="B1:G3"/>
    <mergeCell ref="H1:H3"/>
    <mergeCell ref="I1:I3"/>
    <mergeCell ref="K1:N3"/>
    <mergeCell ref="O1:P1"/>
    <mergeCell ref="J2:J3"/>
    <mergeCell ref="O2:P3"/>
  </mergeCells>
  <phoneticPr fontId="12"/>
  <conditionalFormatting sqref="F13:J14">
    <cfRule type="expression" dxfId="63" priority="78">
      <formula>$D13="直接入力"</formula>
    </cfRule>
  </conditionalFormatting>
  <conditionalFormatting sqref="D32:N32">
    <cfRule type="expression" dxfId="62" priority="54">
      <formula>$AE32=TRUE</formula>
    </cfRule>
  </conditionalFormatting>
  <conditionalFormatting sqref="D38:N38">
    <cfRule type="expression" dxfId="61" priority="52">
      <formula>$AE38=TRUE</formula>
    </cfRule>
  </conditionalFormatting>
  <conditionalFormatting sqref="D40:N43 D45:N48 D50:N51">
    <cfRule type="expression" dxfId="60" priority="50">
      <formula>$AE40=TRUE</formula>
    </cfRule>
  </conditionalFormatting>
  <conditionalFormatting sqref="D39">
    <cfRule type="expression" dxfId="59" priority="37">
      <formula>$AE39=TRUE</formula>
    </cfRule>
  </conditionalFormatting>
  <conditionalFormatting sqref="D44">
    <cfRule type="expression" dxfId="58" priority="36">
      <formula>$AE44=TRUE</formula>
    </cfRule>
  </conditionalFormatting>
  <conditionalFormatting sqref="D49">
    <cfRule type="expression" dxfId="57" priority="35">
      <formula>$AE49=TRUE</formula>
    </cfRule>
  </conditionalFormatting>
  <conditionalFormatting sqref="D52">
    <cfRule type="expression" dxfId="56" priority="34">
      <formula>$AE52=TRUE</formula>
    </cfRule>
  </conditionalFormatting>
  <conditionalFormatting sqref="R13:R14">
    <cfRule type="expression" dxfId="55" priority="33">
      <formula>$E13="なし"</formula>
    </cfRule>
  </conditionalFormatting>
  <conditionalFormatting sqref="D13:Q14">
    <cfRule type="expression" dxfId="54" priority="32">
      <formula>$C13="該当部位なし"</formula>
    </cfRule>
  </conditionalFormatting>
  <conditionalFormatting sqref="D33:N33">
    <cfRule type="expression" dxfId="53" priority="10">
      <formula>$AE33=TRUE</formula>
    </cfRule>
  </conditionalFormatting>
  <conditionalFormatting sqref="G34:N34">
    <cfRule type="expression" dxfId="52" priority="9">
      <formula>$AF34=TRUE</formula>
    </cfRule>
  </conditionalFormatting>
  <conditionalFormatting sqref="G35:N37">
    <cfRule type="expression" dxfId="51" priority="8">
      <formula>$AF35=TRUE</formula>
    </cfRule>
  </conditionalFormatting>
  <conditionalFormatting sqref="F23:T23">
    <cfRule type="expression" dxfId="50" priority="7">
      <formula>$E$23="なし"</formula>
    </cfRule>
  </conditionalFormatting>
  <conditionalFormatting sqref="G23:M23">
    <cfRule type="expression" dxfId="49" priority="6">
      <formula>$F$23="直接入力"</formula>
    </cfRule>
  </conditionalFormatting>
  <conditionalFormatting sqref="N23">
    <cfRule type="expression" dxfId="48" priority="5">
      <formula>$F$23="建具とガラスの組み合わせから入力"</formula>
    </cfRule>
  </conditionalFormatting>
  <conditionalFormatting sqref="K13:K14">
    <cfRule type="expression" dxfId="47" priority="4">
      <formula>$D13="断熱材の種類から入力"</formula>
    </cfRule>
  </conditionalFormatting>
  <conditionalFormatting sqref="P13:R14">
    <cfRule type="expression" dxfId="46" priority="2">
      <formula>$R13="不適"</formula>
    </cfRule>
  </conditionalFormatting>
  <conditionalFormatting sqref="S23:U23">
    <cfRule type="expression" dxfId="45" priority="1">
      <formula>$U$23="不適"</formula>
    </cfRule>
  </conditionalFormatting>
  <dataValidations count="4">
    <dataValidation type="list" allowBlank="1" showInputMessage="1" showErrorMessage="1" sqref="L24:L26" xr:uid="{0B07E3BC-050C-494C-BC28-9524AACA4C0A}">
      <formula1>INDIRECT(#REF!)</formula1>
    </dataValidation>
    <dataValidation type="list" allowBlank="1" showInputMessage="1" showErrorMessage="1" sqref="L22:L23" xr:uid="{A3F3E047-7611-43CA-8032-78727E26E698}">
      <formula1>INDIRECT(AF19)</formula1>
    </dataValidation>
    <dataValidation type="list" allowBlank="1" showInputMessage="1" showErrorMessage="1" sqref="M23:M26 K22:K26" xr:uid="{993C6247-048E-400E-A4F8-9211F2D6820F}">
      <formula1>INDIRECT(AE22)</formula1>
    </dataValidation>
    <dataValidation type="list" allowBlank="1" showInputMessage="1" showErrorMessage="1" sqref="I22:J26" xr:uid="{E4503CAF-BB96-4C24-8B76-92BB8F3AC212}">
      <formula1>INDIRECT(G22)</formula1>
    </dataValidation>
  </dataValidations>
  <pageMargins left="0.70866141732283472" right="0.70866141732283472" top="0.74803149606299213" bottom="0.74803149606299213" header="0.31496062992125984" footer="0.31496062992125984"/>
  <pageSetup paperSize="8" scale="44"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1514" r:id="rId4" name="Check Box 10">
              <controlPr defaultSize="0" autoFill="0" autoLine="0" autoPict="0" macro="[0]!Sheet5.地域8チェック10_Click">
                <anchor moveWithCells="1">
                  <from>
                    <xdr:col>2</xdr:col>
                    <xdr:colOff>638175</xdr:colOff>
                    <xdr:row>39</xdr:row>
                    <xdr:rowOff>9525</xdr:rowOff>
                  </from>
                  <to>
                    <xdr:col>3</xdr:col>
                    <xdr:colOff>47625</xdr:colOff>
                    <xdr:row>40</xdr:row>
                    <xdr:rowOff>0</xdr:rowOff>
                  </to>
                </anchor>
              </controlPr>
            </control>
          </mc:Choice>
        </mc:AlternateContent>
        <mc:AlternateContent xmlns:mc="http://schemas.openxmlformats.org/markup-compatibility/2006">
          <mc:Choice Requires="x14">
            <control shapeId="21515" r:id="rId5" name="Check Box 11">
              <controlPr defaultSize="0" autoFill="0" autoLine="0" autoPict="0" macro="[0]!Sheet5.地域8チェック11_Click">
                <anchor moveWithCells="1">
                  <from>
                    <xdr:col>2</xdr:col>
                    <xdr:colOff>638175</xdr:colOff>
                    <xdr:row>40</xdr:row>
                    <xdr:rowOff>9525</xdr:rowOff>
                  </from>
                  <to>
                    <xdr:col>3</xdr:col>
                    <xdr:colOff>47625</xdr:colOff>
                    <xdr:row>41</xdr:row>
                    <xdr:rowOff>0</xdr:rowOff>
                  </to>
                </anchor>
              </controlPr>
            </control>
          </mc:Choice>
        </mc:AlternateContent>
        <mc:AlternateContent xmlns:mc="http://schemas.openxmlformats.org/markup-compatibility/2006">
          <mc:Choice Requires="x14">
            <control shapeId="21516" r:id="rId6" name="Check Box 12">
              <controlPr defaultSize="0" autoFill="0" autoLine="0" autoPict="0" macro="[0]!Sheet5.地域8チェック12_Click">
                <anchor moveWithCells="1">
                  <from>
                    <xdr:col>2</xdr:col>
                    <xdr:colOff>638175</xdr:colOff>
                    <xdr:row>41</xdr:row>
                    <xdr:rowOff>9525</xdr:rowOff>
                  </from>
                  <to>
                    <xdr:col>3</xdr:col>
                    <xdr:colOff>47625</xdr:colOff>
                    <xdr:row>42</xdr:row>
                    <xdr:rowOff>0</xdr:rowOff>
                  </to>
                </anchor>
              </controlPr>
            </control>
          </mc:Choice>
        </mc:AlternateContent>
        <mc:AlternateContent xmlns:mc="http://schemas.openxmlformats.org/markup-compatibility/2006">
          <mc:Choice Requires="x14">
            <control shapeId="21517" r:id="rId7" name="Check Box 13">
              <controlPr defaultSize="0" autoFill="0" autoLine="0" autoPict="0" macro="[0]!Sheet5.地域8チェック13_Click">
                <anchor moveWithCells="1">
                  <from>
                    <xdr:col>2</xdr:col>
                    <xdr:colOff>638175</xdr:colOff>
                    <xdr:row>42</xdr:row>
                    <xdr:rowOff>9525</xdr:rowOff>
                  </from>
                  <to>
                    <xdr:col>3</xdr:col>
                    <xdr:colOff>47625</xdr:colOff>
                    <xdr:row>43</xdr:row>
                    <xdr:rowOff>0</xdr:rowOff>
                  </to>
                </anchor>
              </controlPr>
            </control>
          </mc:Choice>
        </mc:AlternateContent>
        <mc:AlternateContent xmlns:mc="http://schemas.openxmlformats.org/markup-compatibility/2006">
          <mc:Choice Requires="x14">
            <control shapeId="21518" r:id="rId8" name="Check Box 14">
              <controlPr defaultSize="0" autoFill="0" autoLine="0" autoPict="0" macro="[0]!Sheet5.地域8チェック14_Click">
                <anchor moveWithCells="1">
                  <from>
                    <xdr:col>2</xdr:col>
                    <xdr:colOff>638175</xdr:colOff>
                    <xdr:row>44</xdr:row>
                    <xdr:rowOff>9525</xdr:rowOff>
                  </from>
                  <to>
                    <xdr:col>3</xdr:col>
                    <xdr:colOff>47625</xdr:colOff>
                    <xdr:row>45</xdr:row>
                    <xdr:rowOff>0</xdr:rowOff>
                  </to>
                </anchor>
              </controlPr>
            </control>
          </mc:Choice>
        </mc:AlternateContent>
        <mc:AlternateContent xmlns:mc="http://schemas.openxmlformats.org/markup-compatibility/2006">
          <mc:Choice Requires="x14">
            <control shapeId="21519" r:id="rId9" name="Check Box 15">
              <controlPr defaultSize="0" autoFill="0" autoLine="0" autoPict="0" macro="[0]!Sheet5.地域8チェック15_Click">
                <anchor moveWithCells="1">
                  <from>
                    <xdr:col>2</xdr:col>
                    <xdr:colOff>638175</xdr:colOff>
                    <xdr:row>45</xdr:row>
                    <xdr:rowOff>9525</xdr:rowOff>
                  </from>
                  <to>
                    <xdr:col>3</xdr:col>
                    <xdr:colOff>47625</xdr:colOff>
                    <xdr:row>46</xdr:row>
                    <xdr:rowOff>0</xdr:rowOff>
                  </to>
                </anchor>
              </controlPr>
            </control>
          </mc:Choice>
        </mc:AlternateContent>
        <mc:AlternateContent xmlns:mc="http://schemas.openxmlformats.org/markup-compatibility/2006">
          <mc:Choice Requires="x14">
            <control shapeId="21520" r:id="rId10" name="Check Box 16">
              <controlPr defaultSize="0" autoFill="0" autoLine="0" autoPict="0" macro="[0]!Sheet5.地域8チェック16_Click">
                <anchor moveWithCells="1">
                  <from>
                    <xdr:col>2</xdr:col>
                    <xdr:colOff>638175</xdr:colOff>
                    <xdr:row>46</xdr:row>
                    <xdr:rowOff>9525</xdr:rowOff>
                  </from>
                  <to>
                    <xdr:col>3</xdr:col>
                    <xdr:colOff>47625</xdr:colOff>
                    <xdr:row>47</xdr:row>
                    <xdr:rowOff>0</xdr:rowOff>
                  </to>
                </anchor>
              </controlPr>
            </control>
          </mc:Choice>
        </mc:AlternateContent>
        <mc:AlternateContent xmlns:mc="http://schemas.openxmlformats.org/markup-compatibility/2006">
          <mc:Choice Requires="x14">
            <control shapeId="21521" r:id="rId11" name="Check Box 17">
              <controlPr defaultSize="0" autoFill="0" autoLine="0" autoPict="0" macro="[0]!Sheet5.地域8チェック17_Click">
                <anchor moveWithCells="1">
                  <from>
                    <xdr:col>2</xdr:col>
                    <xdr:colOff>638175</xdr:colOff>
                    <xdr:row>47</xdr:row>
                    <xdr:rowOff>9525</xdr:rowOff>
                  </from>
                  <to>
                    <xdr:col>3</xdr:col>
                    <xdr:colOff>47625</xdr:colOff>
                    <xdr:row>48</xdr:row>
                    <xdr:rowOff>0</xdr:rowOff>
                  </to>
                </anchor>
              </controlPr>
            </control>
          </mc:Choice>
        </mc:AlternateContent>
        <mc:AlternateContent xmlns:mc="http://schemas.openxmlformats.org/markup-compatibility/2006">
          <mc:Choice Requires="x14">
            <control shapeId="21522" r:id="rId12" name="Check Box 18">
              <controlPr defaultSize="0" autoFill="0" autoLine="0" autoPict="0" macro="[0]!Sheet5.地域8チェック18_Click">
                <anchor moveWithCells="1">
                  <from>
                    <xdr:col>2</xdr:col>
                    <xdr:colOff>638175</xdr:colOff>
                    <xdr:row>49</xdr:row>
                    <xdr:rowOff>9525</xdr:rowOff>
                  </from>
                  <to>
                    <xdr:col>3</xdr:col>
                    <xdr:colOff>47625</xdr:colOff>
                    <xdr:row>50</xdr:row>
                    <xdr:rowOff>0</xdr:rowOff>
                  </to>
                </anchor>
              </controlPr>
            </control>
          </mc:Choice>
        </mc:AlternateContent>
        <mc:AlternateContent xmlns:mc="http://schemas.openxmlformats.org/markup-compatibility/2006">
          <mc:Choice Requires="x14">
            <control shapeId="21523" r:id="rId13" name="Check Box 19">
              <controlPr defaultSize="0" autoFill="0" autoLine="0" autoPict="0" macro="[0]!Sheet5.地域8チェック19_Click">
                <anchor moveWithCells="1">
                  <from>
                    <xdr:col>2</xdr:col>
                    <xdr:colOff>638175</xdr:colOff>
                    <xdr:row>50</xdr:row>
                    <xdr:rowOff>9525</xdr:rowOff>
                  </from>
                  <to>
                    <xdr:col>3</xdr:col>
                    <xdr:colOff>47625</xdr:colOff>
                    <xdr:row>51</xdr:row>
                    <xdr:rowOff>0</xdr:rowOff>
                  </to>
                </anchor>
              </controlPr>
            </control>
          </mc:Choice>
        </mc:AlternateContent>
        <mc:AlternateContent xmlns:mc="http://schemas.openxmlformats.org/markup-compatibility/2006">
          <mc:Choice Requires="x14">
            <control shapeId="21524" r:id="rId14" name="Check Box 20">
              <controlPr defaultSize="0" autoFill="0" autoLine="0" autoPict="0" macro="[0]!Sheet5.地域8チェック20_Click">
                <anchor moveWithCells="1">
                  <from>
                    <xdr:col>2</xdr:col>
                    <xdr:colOff>647700</xdr:colOff>
                    <xdr:row>31</xdr:row>
                    <xdr:rowOff>19050</xdr:rowOff>
                  </from>
                  <to>
                    <xdr:col>3</xdr:col>
                    <xdr:colOff>76200</xdr:colOff>
                    <xdr:row>31</xdr:row>
                    <xdr:rowOff>361950</xdr:rowOff>
                  </to>
                </anchor>
              </controlPr>
            </control>
          </mc:Choice>
        </mc:AlternateContent>
        <mc:AlternateContent xmlns:mc="http://schemas.openxmlformats.org/markup-compatibility/2006">
          <mc:Choice Requires="x14">
            <control shapeId="21525" r:id="rId15" name="Check Box 21">
              <controlPr defaultSize="0" autoFill="0" autoLine="0" autoPict="0" macro="[0]!Sheet5.地域8チェック21_Click">
                <anchor moveWithCells="1">
                  <from>
                    <xdr:col>2</xdr:col>
                    <xdr:colOff>647700</xdr:colOff>
                    <xdr:row>32</xdr:row>
                    <xdr:rowOff>9525</xdr:rowOff>
                  </from>
                  <to>
                    <xdr:col>3</xdr:col>
                    <xdr:colOff>76200</xdr:colOff>
                    <xdr:row>33</xdr:row>
                    <xdr:rowOff>0</xdr:rowOff>
                  </to>
                </anchor>
              </controlPr>
            </control>
          </mc:Choice>
        </mc:AlternateContent>
        <mc:AlternateContent xmlns:mc="http://schemas.openxmlformats.org/markup-compatibility/2006">
          <mc:Choice Requires="x14">
            <control shapeId="21526" r:id="rId16" name="Check Box 22">
              <controlPr defaultSize="0" autoFill="0" autoLine="0" autoPict="0" macro="[0]!Sheet5.地域8チェック22_Click">
                <anchor moveWithCells="1">
                  <from>
                    <xdr:col>2</xdr:col>
                    <xdr:colOff>647700</xdr:colOff>
                    <xdr:row>37</xdr:row>
                    <xdr:rowOff>19050</xdr:rowOff>
                  </from>
                  <to>
                    <xdr:col>3</xdr:col>
                    <xdr:colOff>76200</xdr:colOff>
                    <xdr:row>37</xdr:row>
                    <xdr:rowOff>371475</xdr:rowOff>
                  </to>
                </anchor>
              </controlPr>
            </control>
          </mc:Choice>
        </mc:AlternateContent>
        <mc:AlternateContent xmlns:mc="http://schemas.openxmlformats.org/markup-compatibility/2006">
          <mc:Choice Requires="x14">
            <control shapeId="21527" r:id="rId17" name="Check Box 23">
              <controlPr defaultSize="0" autoFill="0" autoLine="0" autoPict="0" macro="[0]!Sheet5.地域8チェック23_Click">
                <anchor moveWithCells="1">
                  <from>
                    <xdr:col>5</xdr:col>
                    <xdr:colOff>647700</xdr:colOff>
                    <xdr:row>33</xdr:row>
                    <xdr:rowOff>9525</xdr:rowOff>
                  </from>
                  <to>
                    <xdr:col>6</xdr:col>
                    <xdr:colOff>66675</xdr:colOff>
                    <xdr:row>34</xdr:row>
                    <xdr:rowOff>0</xdr:rowOff>
                  </to>
                </anchor>
              </controlPr>
            </control>
          </mc:Choice>
        </mc:AlternateContent>
        <mc:AlternateContent xmlns:mc="http://schemas.openxmlformats.org/markup-compatibility/2006">
          <mc:Choice Requires="x14">
            <control shapeId="21528" r:id="rId18" name="Check Box 24">
              <controlPr defaultSize="0" autoFill="0" autoLine="0" autoPict="0" macro="[0]!Sheet5.地域8チェック24_Click">
                <anchor moveWithCells="1">
                  <from>
                    <xdr:col>5</xdr:col>
                    <xdr:colOff>647700</xdr:colOff>
                    <xdr:row>34</xdr:row>
                    <xdr:rowOff>9525</xdr:rowOff>
                  </from>
                  <to>
                    <xdr:col>6</xdr:col>
                    <xdr:colOff>66675</xdr:colOff>
                    <xdr:row>35</xdr:row>
                    <xdr:rowOff>0</xdr:rowOff>
                  </to>
                </anchor>
              </controlPr>
            </control>
          </mc:Choice>
        </mc:AlternateContent>
        <mc:AlternateContent xmlns:mc="http://schemas.openxmlformats.org/markup-compatibility/2006">
          <mc:Choice Requires="x14">
            <control shapeId="21529" r:id="rId19" name="Check Box 25">
              <controlPr defaultSize="0" autoFill="0" autoLine="0" autoPict="0" macro="[0]!Sheet5.地域8チェック25_Click">
                <anchor moveWithCells="1">
                  <from>
                    <xdr:col>5</xdr:col>
                    <xdr:colOff>647700</xdr:colOff>
                    <xdr:row>35</xdr:row>
                    <xdr:rowOff>9525</xdr:rowOff>
                  </from>
                  <to>
                    <xdr:col>6</xdr:col>
                    <xdr:colOff>66675</xdr:colOff>
                    <xdr:row>36</xdr:row>
                    <xdr:rowOff>0</xdr:rowOff>
                  </to>
                </anchor>
              </controlPr>
            </control>
          </mc:Choice>
        </mc:AlternateContent>
        <mc:AlternateContent xmlns:mc="http://schemas.openxmlformats.org/markup-compatibility/2006">
          <mc:Choice Requires="x14">
            <control shapeId="21530" r:id="rId20" name="Check Box 26">
              <controlPr defaultSize="0" autoFill="0" autoLine="0" autoPict="0" macro="[0]!Sheet5.地域8チェック26_Click">
                <anchor moveWithCells="1">
                  <from>
                    <xdr:col>5</xdr:col>
                    <xdr:colOff>647700</xdr:colOff>
                    <xdr:row>36</xdr:row>
                    <xdr:rowOff>9525</xdr:rowOff>
                  </from>
                  <to>
                    <xdr:col>6</xdr:col>
                    <xdr:colOff>66675</xdr:colOff>
                    <xdr:row>37</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7">
        <x14:dataValidation type="list" allowBlank="1" showInputMessage="1" showErrorMessage="1" xr:uid="{DC70D36A-A90F-4259-B79C-57619C6F4C99}">
          <x14:formula1>
            <xm:f>プルダウン項目_非表示!$H$8:$H$9</xm:f>
          </x14:formula1>
          <xm:sqref>F22:F23</xm:sqref>
        </x14:dataValidation>
        <x14:dataValidation type="list" allowBlank="1" showInputMessage="1" showErrorMessage="1" xr:uid="{4319F30C-C632-42D9-ABB9-6ADBA4EF2F51}">
          <x14:formula1>
            <xm:f>プルダウン項目_非表示!$G$8:$G$9</xm:f>
          </x14:formula1>
          <xm:sqref>E22:E23</xm:sqref>
        </x14:dataValidation>
        <x14:dataValidation type="list" allowBlank="1" showInputMessage="1" showErrorMessage="1" xr:uid="{DF1C73B6-5FD1-4AAF-9C5E-28BF85B9C9B1}">
          <x14:formula1>
            <xm:f>窓のプルダウン_非表示!$C$7:$C$9</xm:f>
          </x14:formula1>
          <xm:sqref>G22:H23</xm:sqref>
        </x14:dataValidation>
        <x14:dataValidation type="list" allowBlank="1" showInputMessage="1" showErrorMessage="1" xr:uid="{7677B615-B17F-4D9B-B1F6-8ACC19F8F286}">
          <x14:formula1>
            <xm:f>プルダウン項目_非表示!$C$8:$C$9</xm:f>
          </x14:formula1>
          <xm:sqref>D13:D14</xm:sqref>
        </x14:dataValidation>
        <x14:dataValidation type="list" allowBlank="1" showInputMessage="1" showErrorMessage="1" xr:uid="{1850D445-75A9-4E9B-8F42-FFFF2065E6E5}">
          <x14:formula1>
            <xm:f>断熱材_非表示!$G$6:$G$87</xm:f>
          </x14:formula1>
          <xm:sqref>F13:G14</xm:sqref>
        </x14:dataValidation>
        <x14:dataValidation type="list" allowBlank="1" showInputMessage="1" showErrorMessage="1" xr:uid="{26F22183-8219-421A-BADF-0732B9D5D7A3}">
          <x14:formula1>
            <xm:f>プルダウン項目_非表示!$D$8:$D$10</xm:f>
          </x14:formula1>
          <xm:sqref>E13:E14</xm:sqref>
        </x14:dataValidation>
        <x14:dataValidation type="list" allowBlank="1" showInputMessage="1" showErrorMessage="1" xr:uid="{3A7B3FD6-8143-4CE8-866E-F8477D10D29D}">
          <x14:formula1>
            <xm:f>プルダウン項目_非表示!$B$8:$B$9</xm:f>
          </x14:formula1>
          <xm:sqref>C13:C14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0F6E0-4377-4186-9BD5-962B7875A5F8}">
  <sheetPr codeName="Sheet3">
    <tabColor theme="0" tint="-0.34998626667073579"/>
  </sheetPr>
  <dimension ref="A1:S100"/>
  <sheetViews>
    <sheetView showGridLines="0" zoomScaleNormal="100" workbookViewId="0">
      <pane xSplit="1" ySplit="1" topLeftCell="B62" activePane="bottomRight" state="frozen"/>
      <selection pane="topRight" activeCell="B1" sqref="B1"/>
      <selection pane="bottomLeft" activeCell="A2" sqref="A2"/>
      <selection pane="bottomRight" activeCell="H100" sqref="H100"/>
    </sheetView>
  </sheetViews>
  <sheetFormatPr defaultColWidth="8.625" defaultRowHeight="15.75"/>
  <cols>
    <col min="1" max="1" width="8.625" style="284"/>
    <col min="2" max="2" width="19.5" style="284" bestFit="1" customWidth="1"/>
    <col min="3" max="3" width="8.625" style="285"/>
    <col min="4" max="4" width="21.625" style="285" bestFit="1" customWidth="1"/>
    <col min="5" max="16384" width="8.625" style="285"/>
  </cols>
  <sheetData>
    <row r="1" spans="1:18">
      <c r="A1" s="284" t="s">
        <v>4019</v>
      </c>
      <c r="B1" s="285" t="s">
        <v>4024</v>
      </c>
      <c r="E1" s="305" t="s">
        <v>4043</v>
      </c>
      <c r="F1" s="305" t="s">
        <v>4044</v>
      </c>
      <c r="G1" s="305" t="s">
        <v>4045</v>
      </c>
      <c r="H1" s="305" t="s">
        <v>4046</v>
      </c>
      <c r="I1" s="305">
        <v>1</v>
      </c>
      <c r="J1" s="305">
        <v>2</v>
      </c>
      <c r="K1" s="305">
        <v>3</v>
      </c>
      <c r="L1" s="305">
        <v>4</v>
      </c>
      <c r="M1" s="305">
        <v>5</v>
      </c>
      <c r="N1" s="305">
        <v>6</v>
      </c>
      <c r="O1" s="305">
        <v>7</v>
      </c>
      <c r="P1" s="306">
        <v>8</v>
      </c>
    </row>
    <row r="2" spans="1:18">
      <c r="A2" s="284">
        <v>1</v>
      </c>
      <c r="B2" s="285" t="s">
        <v>52</v>
      </c>
      <c r="E2" s="290" t="str">
        <f>IF('A 最初に入力してください　基本情報'!C5="","",'A 最初に入力してください　基本情報'!C5)</f>
        <v/>
      </c>
      <c r="F2" s="298"/>
      <c r="G2" s="298"/>
      <c r="H2" s="298"/>
      <c r="I2" s="290" t="str">
        <f>$E2</f>
        <v/>
      </c>
      <c r="J2" s="290" t="str">
        <f t="shared" ref="J2:P10" si="0">$E2</f>
        <v/>
      </c>
      <c r="K2" s="290" t="str">
        <f t="shared" si="0"/>
        <v/>
      </c>
      <c r="L2" s="290" t="str">
        <f t="shared" si="0"/>
        <v/>
      </c>
      <c r="M2" s="290" t="str">
        <f t="shared" si="0"/>
        <v/>
      </c>
      <c r="N2" s="290" t="str">
        <f t="shared" si="0"/>
        <v/>
      </c>
      <c r="O2" s="290" t="str">
        <f t="shared" si="0"/>
        <v/>
      </c>
      <c r="P2" s="291" t="str">
        <f>$E2</f>
        <v/>
      </c>
    </row>
    <row r="3" spans="1:18">
      <c r="A3" s="284">
        <v>2</v>
      </c>
      <c r="B3" s="285" t="s">
        <v>514</v>
      </c>
      <c r="E3" s="290" t="str">
        <f>IF(OR('A 最初に入力してください　基本情報'!G5="",'A 最初に入力してください　基本情報'!I5="",'A 最初に入力してください　基本情報'!K5=""),"",'A 最初に入力してください　基本情報'!G5&amp;"年 "&amp;'A 最初に入力してください　基本情報'!I5&amp;"月 "&amp;'A 最初に入力してください　基本情報'!K5&amp;"日")</f>
        <v/>
      </c>
      <c r="F3" s="298"/>
      <c r="G3" s="298"/>
      <c r="H3" s="298"/>
      <c r="I3" s="290" t="str">
        <f t="shared" ref="I3:I10" si="1">$E3</f>
        <v/>
      </c>
      <c r="J3" s="290" t="str">
        <f t="shared" si="0"/>
        <v/>
      </c>
      <c r="K3" s="290" t="str">
        <f t="shared" si="0"/>
        <v/>
      </c>
      <c r="L3" s="290" t="str">
        <f t="shared" si="0"/>
        <v/>
      </c>
      <c r="M3" s="290" t="str">
        <f t="shared" si="0"/>
        <v/>
      </c>
      <c r="N3" s="290" t="str">
        <f t="shared" si="0"/>
        <v/>
      </c>
      <c r="O3" s="290" t="str">
        <f t="shared" si="0"/>
        <v/>
      </c>
      <c r="P3" s="291" t="str">
        <f>$E3</f>
        <v/>
      </c>
    </row>
    <row r="4" spans="1:18">
      <c r="A4" s="284">
        <v>3</v>
      </c>
      <c r="B4" s="285" t="s">
        <v>4020</v>
      </c>
      <c r="E4" s="290" t="str">
        <f>IF('A 最初に入力してください　基本情報'!C7="","",'A 最初に入力してください　基本情報'!C7)</f>
        <v/>
      </c>
      <c r="F4" s="298"/>
      <c r="G4" s="298"/>
      <c r="H4" s="298"/>
      <c r="I4" s="290" t="str">
        <f t="shared" si="1"/>
        <v/>
      </c>
      <c r="J4" s="290" t="str">
        <f t="shared" si="0"/>
        <v/>
      </c>
      <c r="K4" s="290" t="str">
        <f t="shared" si="0"/>
        <v/>
      </c>
      <c r="L4" s="290" t="str">
        <f t="shared" si="0"/>
        <v/>
      </c>
      <c r="M4" s="290" t="str">
        <f t="shared" si="0"/>
        <v/>
      </c>
      <c r="N4" s="290" t="str">
        <f t="shared" si="0"/>
        <v/>
      </c>
      <c r="O4" s="290" t="str">
        <f t="shared" si="0"/>
        <v/>
      </c>
      <c r="P4" s="291" t="str">
        <f t="shared" si="0"/>
        <v/>
      </c>
    </row>
    <row r="5" spans="1:18">
      <c r="A5" s="284">
        <v>4</v>
      </c>
      <c r="B5" s="285" t="s">
        <v>4018</v>
      </c>
      <c r="E5" s="290" t="str">
        <f>IF('A 最初に入力してください　基本情報'!C9="","",'A 最初に入力してください　基本情報'!C9)</f>
        <v/>
      </c>
      <c r="F5" s="298"/>
      <c r="G5" s="298"/>
      <c r="H5" s="298"/>
      <c r="I5" s="290" t="str">
        <f t="shared" si="1"/>
        <v/>
      </c>
      <c r="J5" s="290" t="str">
        <f t="shared" si="0"/>
        <v/>
      </c>
      <c r="K5" s="290" t="str">
        <f t="shared" si="0"/>
        <v/>
      </c>
      <c r="L5" s="290" t="str">
        <f t="shared" si="0"/>
        <v/>
      </c>
      <c r="M5" s="290" t="str">
        <f t="shared" si="0"/>
        <v/>
      </c>
      <c r="N5" s="290" t="str">
        <f t="shared" si="0"/>
        <v/>
      </c>
      <c r="O5" s="290" t="str">
        <f t="shared" si="0"/>
        <v/>
      </c>
      <c r="P5" s="291" t="str">
        <f t="shared" si="0"/>
        <v/>
      </c>
    </row>
    <row r="6" spans="1:18">
      <c r="A6" s="284">
        <v>5</v>
      </c>
      <c r="B6" s="285" t="s">
        <v>4021</v>
      </c>
      <c r="E6" s="290" t="str">
        <f>IF('A 最初に入力してください　基本情報'!C11="","",'A 最初に入力してください　基本情報'!C11)</f>
        <v/>
      </c>
      <c r="F6" s="298"/>
      <c r="G6" s="298"/>
      <c r="H6" s="298"/>
      <c r="I6" s="290" t="str">
        <f t="shared" si="1"/>
        <v/>
      </c>
      <c r="J6" s="290" t="str">
        <f t="shared" si="0"/>
        <v/>
      </c>
      <c r="K6" s="290" t="str">
        <f t="shared" si="0"/>
        <v/>
      </c>
      <c r="L6" s="290" t="str">
        <f t="shared" si="0"/>
        <v/>
      </c>
      <c r="M6" s="290" t="str">
        <f t="shared" si="0"/>
        <v/>
      </c>
      <c r="N6" s="290" t="str">
        <f t="shared" si="0"/>
        <v/>
      </c>
      <c r="O6" s="290" t="str">
        <f t="shared" si="0"/>
        <v/>
      </c>
      <c r="P6" s="291" t="str">
        <f t="shared" si="0"/>
        <v/>
      </c>
    </row>
    <row r="7" spans="1:18">
      <c r="A7" s="284">
        <v>6</v>
      </c>
      <c r="B7" s="285" t="s">
        <v>510</v>
      </c>
      <c r="E7" s="290" t="str">
        <f>IF('A 最初に入力してください　基本情報'!C13="","",'A 最初に入力してください　基本情報'!C13)</f>
        <v/>
      </c>
      <c r="F7" s="298"/>
      <c r="G7" s="298"/>
      <c r="H7" s="298"/>
      <c r="I7" s="290" t="str">
        <f t="shared" si="1"/>
        <v/>
      </c>
      <c r="J7" s="290" t="str">
        <f t="shared" si="0"/>
        <v/>
      </c>
      <c r="K7" s="290" t="str">
        <f t="shared" si="0"/>
        <v/>
      </c>
      <c r="L7" s="290" t="str">
        <f t="shared" si="0"/>
        <v/>
      </c>
      <c r="M7" s="290" t="str">
        <f t="shared" si="0"/>
        <v/>
      </c>
      <c r="N7" s="290" t="str">
        <f t="shared" si="0"/>
        <v/>
      </c>
      <c r="O7" s="290" t="str">
        <f t="shared" si="0"/>
        <v/>
      </c>
      <c r="P7" s="291" t="str">
        <f t="shared" si="0"/>
        <v/>
      </c>
    </row>
    <row r="8" spans="1:18">
      <c r="A8" s="284">
        <v>7</v>
      </c>
      <c r="B8" s="285" t="s">
        <v>508</v>
      </c>
      <c r="E8" s="290" t="str">
        <f>IF('A 最初に入力してください　基本情報'!C21="","",'A 最初に入力してください　基本情報'!C21&amp;"地域")</f>
        <v/>
      </c>
      <c r="F8" s="298"/>
      <c r="G8" s="298"/>
      <c r="H8" s="298"/>
      <c r="I8" s="290" t="str">
        <f t="shared" si="1"/>
        <v/>
      </c>
      <c r="J8" s="290" t="str">
        <f t="shared" si="0"/>
        <v/>
      </c>
      <c r="K8" s="290" t="str">
        <f t="shared" si="0"/>
        <v/>
      </c>
      <c r="L8" s="290" t="str">
        <f t="shared" si="0"/>
        <v/>
      </c>
      <c r="M8" s="290" t="str">
        <f t="shared" si="0"/>
        <v/>
      </c>
      <c r="N8" s="290" t="str">
        <f t="shared" si="0"/>
        <v/>
      </c>
      <c r="O8" s="290" t="str">
        <f t="shared" si="0"/>
        <v/>
      </c>
      <c r="P8" s="291" t="str">
        <f>$E8</f>
        <v/>
      </c>
    </row>
    <row r="9" spans="1:18">
      <c r="A9" s="284">
        <v>8</v>
      </c>
      <c r="B9" s="285" t="s">
        <v>4022</v>
      </c>
      <c r="E9" s="290" t="str">
        <f>IF('A 最初に入力してください　基本情報'!C16="","",'A 最初に入力してください　基本情報'!C16)</f>
        <v/>
      </c>
      <c r="F9" s="298"/>
      <c r="G9" s="298"/>
      <c r="H9" s="298"/>
      <c r="I9" s="290" t="str">
        <f t="shared" si="1"/>
        <v/>
      </c>
      <c r="J9" s="290" t="str">
        <f t="shared" si="0"/>
        <v/>
      </c>
      <c r="K9" s="290" t="str">
        <f t="shared" si="0"/>
        <v/>
      </c>
      <c r="L9" s="290" t="str">
        <f t="shared" si="0"/>
        <v/>
      </c>
      <c r="M9" s="290" t="str">
        <f t="shared" si="0"/>
        <v/>
      </c>
      <c r="N9" s="290" t="str">
        <f t="shared" si="0"/>
        <v/>
      </c>
      <c r="O9" s="290" t="str">
        <f t="shared" si="0"/>
        <v/>
      </c>
      <c r="P9" s="291" t="str">
        <f>$E9</f>
        <v/>
      </c>
    </row>
    <row r="10" spans="1:18">
      <c r="A10" s="284">
        <v>9</v>
      </c>
      <c r="B10" s="285" t="s">
        <v>4023</v>
      </c>
      <c r="E10" s="290" t="str">
        <f>IF('A 最初に入力してください　基本情報'!C19="","",'A 最初に入力してください　基本情報'!C19)</f>
        <v/>
      </c>
      <c r="F10" s="298"/>
      <c r="G10" s="298"/>
      <c r="H10" s="298"/>
      <c r="I10" s="290" t="str">
        <f t="shared" si="1"/>
        <v/>
      </c>
      <c r="J10" s="290" t="str">
        <f t="shared" si="0"/>
        <v/>
      </c>
      <c r="K10" s="290" t="str">
        <f t="shared" si="0"/>
        <v/>
      </c>
      <c r="L10" s="290" t="str">
        <f t="shared" si="0"/>
        <v/>
      </c>
      <c r="M10" s="290" t="str">
        <f t="shared" si="0"/>
        <v/>
      </c>
      <c r="N10" s="290" t="str">
        <f t="shared" si="0"/>
        <v/>
      </c>
      <c r="O10" s="290" t="str">
        <f t="shared" si="0"/>
        <v/>
      </c>
      <c r="P10" s="291" t="str">
        <f>$E10</f>
        <v/>
      </c>
    </row>
    <row r="11" spans="1:18">
      <c r="A11" s="284">
        <v>10</v>
      </c>
      <c r="B11" s="544" t="s">
        <v>4039</v>
      </c>
      <c r="C11" s="550" t="s">
        <v>5</v>
      </c>
      <c r="D11" s="288" t="s">
        <v>20</v>
      </c>
      <c r="E11" s="368">
        <v>1</v>
      </c>
      <c r="F11" s="292" t="str" cm="1">
        <f t="array" ref="F11">INDEX('B 仕様入力シート　１２３４地域'!$AS$13:$AX$19,R11,非表示_出力帳票へのリンク!E11)</f>
        <v/>
      </c>
      <c r="G11" s="292" t="str" cm="1">
        <f t="array" ref="G11">INDEX('B 仕様入力シート　５６７地域'!$AS$13:$AX$19,R11,非表示_出力帳票へのリンク!E11)</f>
        <v/>
      </c>
      <c r="H11" s="292" t="str" cm="1">
        <f t="array" ref="H11">INDEX('B 仕様入力シート　８地域'!$AS$13:$AX$18,R11,非表示_出力帳票へのリンク!E11)</f>
        <v/>
      </c>
      <c r="I11" s="292" t="str">
        <f>$F11</f>
        <v/>
      </c>
      <c r="J11" s="292" t="str">
        <f t="shared" ref="J11:L30" si="2">$F11</f>
        <v/>
      </c>
      <c r="K11" s="292" t="str">
        <f t="shared" si="2"/>
        <v/>
      </c>
      <c r="L11" s="292" t="str">
        <f t="shared" si="2"/>
        <v/>
      </c>
      <c r="M11" s="292" t="str">
        <f>$G11</f>
        <v/>
      </c>
      <c r="N11" s="292" t="str">
        <f t="shared" ref="N11:O30" si="3">$G11</f>
        <v/>
      </c>
      <c r="O11" s="292" t="str">
        <f t="shared" si="3"/>
        <v/>
      </c>
      <c r="P11" s="293" t="str">
        <f>$H11</f>
        <v/>
      </c>
      <c r="R11" s="74">
        <v>1</v>
      </c>
    </row>
    <row r="12" spans="1:18">
      <c r="A12" s="284">
        <v>11</v>
      </c>
      <c r="B12" s="545"/>
      <c r="C12" s="551"/>
      <c r="D12" s="285" t="s">
        <v>35</v>
      </c>
      <c r="E12" s="369">
        <v>2</v>
      </c>
      <c r="F12" s="290" t="str" cm="1">
        <f t="array" ref="F12">INDEX('B 仕様入力シート　１２３４地域'!$AS$13:$AX$19,R12,非表示_出力帳票へのリンク!E12)</f>
        <v/>
      </c>
      <c r="G12" s="290" t="str" cm="1">
        <f t="array" ref="G12">INDEX('B 仕様入力シート　５６７地域'!$AS$13:$AX$19,R12,非表示_出力帳票へのリンク!E12)</f>
        <v/>
      </c>
      <c r="H12" s="290" t="str" cm="1">
        <f t="array" ref="H12">INDEX('B 仕様入力シート　８地域'!$AS$13:$AX$18,R12,非表示_出力帳票へのリンク!E12)</f>
        <v/>
      </c>
      <c r="I12" s="290" t="str">
        <f t="shared" ref="I12:L31" si="4">$F12</f>
        <v/>
      </c>
      <c r="J12" s="290" t="str">
        <f t="shared" si="2"/>
        <v/>
      </c>
      <c r="K12" s="290" t="str">
        <f t="shared" si="2"/>
        <v/>
      </c>
      <c r="L12" s="290" t="str">
        <f t="shared" si="2"/>
        <v/>
      </c>
      <c r="M12" s="290" t="str">
        <f t="shared" ref="M12:O31" si="5">$G12</f>
        <v/>
      </c>
      <c r="N12" s="290" t="str">
        <f t="shared" si="3"/>
        <v/>
      </c>
      <c r="O12" s="290" t="str">
        <f t="shared" si="3"/>
        <v/>
      </c>
      <c r="P12" s="291" t="str">
        <f t="shared" ref="P12:P75" si="6">$H12</f>
        <v/>
      </c>
      <c r="R12" s="74">
        <f>R11</f>
        <v>1</v>
      </c>
    </row>
    <row r="13" spans="1:18">
      <c r="A13" s="284">
        <v>12</v>
      </c>
      <c r="B13" s="545"/>
      <c r="C13" s="551"/>
      <c r="D13" s="285" t="s">
        <v>4025</v>
      </c>
      <c r="E13" s="369">
        <v>3</v>
      </c>
      <c r="F13" s="290" t="str" cm="1">
        <f t="array" ref="F13">INDEX('B 仕様入力シート　１２３４地域'!$AS$13:$AX$19,R13,非表示_出力帳票へのリンク!E13)</f>
        <v/>
      </c>
      <c r="G13" s="290" t="str" cm="1">
        <f t="array" ref="G13">INDEX('B 仕様入力シート　５６７地域'!$AS$13:$AX$19,R13,非表示_出力帳票へのリンク!E13)</f>
        <v/>
      </c>
      <c r="H13" s="290" t="str" cm="1">
        <f t="array" ref="H13">INDEX('B 仕様入力シート　８地域'!$AS$13:$AX$18,R13,非表示_出力帳票へのリンク!E13)</f>
        <v/>
      </c>
      <c r="I13" s="290" t="str">
        <f t="shared" si="4"/>
        <v/>
      </c>
      <c r="J13" s="290" t="str">
        <f t="shared" si="2"/>
        <v/>
      </c>
      <c r="K13" s="290" t="str">
        <f t="shared" si="2"/>
        <v/>
      </c>
      <c r="L13" s="290" t="str">
        <f t="shared" si="2"/>
        <v/>
      </c>
      <c r="M13" s="290" t="str">
        <f t="shared" si="5"/>
        <v/>
      </c>
      <c r="N13" s="290" t="str">
        <f t="shared" si="3"/>
        <v/>
      </c>
      <c r="O13" s="290" t="str">
        <f t="shared" si="3"/>
        <v/>
      </c>
      <c r="P13" s="291" t="str">
        <f t="shared" si="6"/>
        <v/>
      </c>
      <c r="R13" s="74">
        <f t="shared" ref="R13:R16" si="7">R12</f>
        <v>1</v>
      </c>
    </row>
    <row r="14" spans="1:18">
      <c r="A14" s="284">
        <v>13</v>
      </c>
      <c r="B14" s="545"/>
      <c r="C14" s="551"/>
      <c r="D14" s="285" t="s">
        <v>4026</v>
      </c>
      <c r="E14" s="369">
        <v>4</v>
      </c>
      <c r="F14" s="296" t="str" cm="1">
        <f t="array" ref="F14">INDEX('B 仕様入力シート　１２３４地域'!$AS$13:$AX$19,R14,非表示_出力帳票へのリンク!E14)</f>
        <v/>
      </c>
      <c r="G14" s="290" t="str" cm="1">
        <f t="array" ref="G14">INDEX('B 仕様入力シート　５６７地域'!$AS$13:$AX$19,R14,非表示_出力帳票へのリンク!E14)</f>
        <v/>
      </c>
      <c r="H14" s="290" t="str" cm="1">
        <f t="array" ref="H14">INDEX('B 仕様入力シート　８地域'!$AS$13:$AX$18,R14,非表示_出力帳票へのリンク!E14)</f>
        <v/>
      </c>
      <c r="I14" s="290" t="str">
        <f t="shared" si="4"/>
        <v/>
      </c>
      <c r="J14" s="290" t="str">
        <f t="shared" si="2"/>
        <v/>
      </c>
      <c r="K14" s="290" t="str">
        <f t="shared" si="2"/>
        <v/>
      </c>
      <c r="L14" s="290" t="str">
        <f t="shared" si="2"/>
        <v/>
      </c>
      <c r="M14" s="290" t="str">
        <f t="shared" si="5"/>
        <v/>
      </c>
      <c r="N14" s="290" t="str">
        <f t="shared" si="3"/>
        <v/>
      </c>
      <c r="O14" s="290" t="str">
        <f t="shared" si="3"/>
        <v/>
      </c>
      <c r="P14" s="291" t="str">
        <f t="shared" si="6"/>
        <v/>
      </c>
      <c r="R14" s="74">
        <f t="shared" si="7"/>
        <v>1</v>
      </c>
    </row>
    <row r="15" spans="1:18">
      <c r="A15" s="284">
        <v>14</v>
      </c>
      <c r="B15" s="545"/>
      <c r="C15" s="551"/>
      <c r="D15" s="285" t="s">
        <v>4027</v>
      </c>
      <c r="E15" s="369">
        <v>5</v>
      </c>
      <c r="F15" s="290" t="str" cm="1">
        <f t="array" ref="F15">INDEX('B 仕様入力シート　１２３４地域'!$AS$13:$AX$19,R15,非表示_出力帳票へのリンク!E15)</f>
        <v/>
      </c>
      <c r="G15" s="290" t="str" cm="1">
        <f t="array" ref="G15">INDEX('B 仕様入力シート　５６７地域'!$AS$13:$AX$19,R15,非表示_出力帳票へのリンク!E15)</f>
        <v/>
      </c>
      <c r="H15" s="290" t="str" cm="1">
        <f t="array" ref="H15">INDEX('B 仕様入力シート　８地域'!$AS$13:$AX$18,R15,非表示_出力帳票へのリンク!E15)</f>
        <v/>
      </c>
      <c r="I15" s="290" t="str">
        <f t="shared" si="4"/>
        <v/>
      </c>
      <c r="J15" s="290" t="str">
        <f t="shared" si="2"/>
        <v/>
      </c>
      <c r="K15" s="290" t="str">
        <f t="shared" si="2"/>
        <v/>
      </c>
      <c r="L15" s="290" t="str">
        <f t="shared" si="2"/>
        <v/>
      </c>
      <c r="M15" s="290" t="str">
        <f t="shared" si="5"/>
        <v/>
      </c>
      <c r="N15" s="290" t="str">
        <f t="shared" si="3"/>
        <v/>
      </c>
      <c r="O15" s="290" t="str">
        <f t="shared" si="3"/>
        <v/>
      </c>
      <c r="P15" s="291" t="str">
        <f t="shared" si="6"/>
        <v/>
      </c>
      <c r="R15" s="74">
        <f t="shared" si="7"/>
        <v>1</v>
      </c>
    </row>
    <row r="16" spans="1:18">
      <c r="A16" s="284">
        <v>15</v>
      </c>
      <c r="B16" s="545"/>
      <c r="C16" s="552"/>
      <c r="D16" s="289" t="s">
        <v>232</v>
      </c>
      <c r="E16" s="370">
        <v>6</v>
      </c>
      <c r="F16" s="294" t="str" cm="1">
        <f t="array" ref="F16">INDEX('B 仕様入力シート　１２３４地域'!$AS$13:$AX$19,R16,非表示_出力帳票へのリンク!E16)</f>
        <v/>
      </c>
      <c r="G16" s="294" t="str" cm="1">
        <f t="array" ref="G16">INDEX('B 仕様入力シート　５６７地域'!$AS$13:$AX$19,R16,非表示_出力帳票へのリンク!E16)</f>
        <v/>
      </c>
      <c r="H16" s="294" t="str" cm="1">
        <f t="array" ref="H16">INDEX('B 仕様入力シート　８地域'!$AS$13:$AX$18,R16,非表示_出力帳票へのリンク!E16)</f>
        <v/>
      </c>
      <c r="I16" s="294" t="str">
        <f t="shared" si="4"/>
        <v/>
      </c>
      <c r="J16" s="294" t="str">
        <f t="shared" si="2"/>
        <v/>
      </c>
      <c r="K16" s="294" t="str">
        <f t="shared" si="2"/>
        <v/>
      </c>
      <c r="L16" s="294" t="str">
        <f t="shared" si="2"/>
        <v/>
      </c>
      <c r="M16" s="294" t="str">
        <f t="shared" si="5"/>
        <v/>
      </c>
      <c r="N16" s="294" t="str">
        <f t="shared" si="3"/>
        <v/>
      </c>
      <c r="O16" s="294" t="str">
        <f t="shared" si="3"/>
        <v/>
      </c>
      <c r="P16" s="295" t="str">
        <f t="shared" si="6"/>
        <v/>
      </c>
      <c r="R16" s="74">
        <f t="shared" si="7"/>
        <v>1</v>
      </c>
    </row>
    <row r="17" spans="1:18">
      <c r="A17" s="284">
        <v>16</v>
      </c>
      <c r="B17" s="545"/>
      <c r="C17" s="551" t="s">
        <v>6</v>
      </c>
      <c r="D17" s="285" t="s">
        <v>20</v>
      </c>
      <c r="E17" s="369">
        <v>1</v>
      </c>
      <c r="F17" s="292" t="str" cm="1">
        <f t="array" ref="F17">INDEX('B 仕様入力シート　１２３４地域'!$AS$13:$AX$19,R17,非表示_出力帳票へのリンク!E17)</f>
        <v/>
      </c>
      <c r="G17" s="290" t="str" cm="1">
        <f t="array" ref="G17">INDEX('B 仕様入力シート　５６７地域'!$AS$13:$AX$19,R17,非表示_出力帳票へのリンク!E17)</f>
        <v/>
      </c>
      <c r="H17" s="290" t="str" cm="1">
        <f t="array" ref="H17">INDEX('B 仕様入力シート　８地域'!$AS$13:$AX$18,R17,非表示_出力帳票へのリンク!E17)</f>
        <v/>
      </c>
      <c r="I17" s="290" t="str">
        <f t="shared" si="4"/>
        <v/>
      </c>
      <c r="J17" s="290" t="str">
        <f t="shared" si="2"/>
        <v/>
      </c>
      <c r="K17" s="290" t="str">
        <f t="shared" si="2"/>
        <v/>
      </c>
      <c r="L17" s="290" t="str">
        <f t="shared" si="2"/>
        <v/>
      </c>
      <c r="M17" s="290" t="str">
        <f t="shared" si="5"/>
        <v/>
      </c>
      <c r="N17" s="290" t="str">
        <f t="shared" si="3"/>
        <v/>
      </c>
      <c r="O17" s="290" t="str">
        <f t="shared" si="3"/>
        <v/>
      </c>
      <c r="P17" s="291" t="str">
        <f t="shared" si="6"/>
        <v/>
      </c>
      <c r="R17" s="74">
        <v>2</v>
      </c>
    </row>
    <row r="18" spans="1:18">
      <c r="A18" s="284">
        <v>17</v>
      </c>
      <c r="B18" s="545"/>
      <c r="C18" s="551"/>
      <c r="D18" s="285" t="s">
        <v>35</v>
      </c>
      <c r="E18" s="369">
        <v>2</v>
      </c>
      <c r="F18" s="290" t="str" cm="1">
        <f t="array" ref="F18">INDEX('B 仕様入力シート　１２３４地域'!$AS$13:$AX$19,R18,非表示_出力帳票へのリンク!E18)</f>
        <v/>
      </c>
      <c r="G18" s="290" t="str" cm="1">
        <f t="array" ref="G18">INDEX('B 仕様入力シート　５６７地域'!$AS$13:$AX$19,R18,非表示_出力帳票へのリンク!E18)</f>
        <v/>
      </c>
      <c r="H18" s="290" t="str" cm="1">
        <f t="array" ref="H18">INDEX('B 仕様入力シート　８地域'!$AS$13:$AX$18,R18,非表示_出力帳票へのリンク!E18)</f>
        <v/>
      </c>
      <c r="I18" s="290" t="str">
        <f t="shared" si="4"/>
        <v/>
      </c>
      <c r="J18" s="290" t="str">
        <f t="shared" si="2"/>
        <v/>
      </c>
      <c r="K18" s="290" t="str">
        <f t="shared" si="2"/>
        <v/>
      </c>
      <c r="L18" s="290" t="str">
        <f t="shared" si="2"/>
        <v/>
      </c>
      <c r="M18" s="290" t="str">
        <f t="shared" si="5"/>
        <v/>
      </c>
      <c r="N18" s="290" t="str">
        <f t="shared" si="3"/>
        <v/>
      </c>
      <c r="O18" s="290" t="str">
        <f t="shared" si="3"/>
        <v/>
      </c>
      <c r="P18" s="291" t="str">
        <f t="shared" si="6"/>
        <v/>
      </c>
      <c r="R18" s="74">
        <f>R17</f>
        <v>2</v>
      </c>
    </row>
    <row r="19" spans="1:18">
      <c r="A19" s="284">
        <v>18</v>
      </c>
      <c r="B19" s="545"/>
      <c r="C19" s="551"/>
      <c r="D19" s="285" t="s">
        <v>4025</v>
      </c>
      <c r="E19" s="369">
        <v>3</v>
      </c>
      <c r="F19" s="290" t="str" cm="1">
        <f t="array" ref="F19">INDEX('B 仕様入力シート　１２３４地域'!$AS$13:$AX$19,R19,非表示_出力帳票へのリンク!E19)</f>
        <v/>
      </c>
      <c r="G19" s="290" t="str" cm="1">
        <f t="array" ref="G19">INDEX('B 仕様入力シート　５６７地域'!$AS$13:$AX$19,R19,非表示_出力帳票へのリンク!E19)</f>
        <v/>
      </c>
      <c r="H19" s="290" t="str" cm="1">
        <f t="array" ref="H19">INDEX('B 仕様入力シート　８地域'!$AS$13:$AX$18,R19,非表示_出力帳票へのリンク!E19)</f>
        <v/>
      </c>
      <c r="I19" s="290" t="str">
        <f t="shared" si="4"/>
        <v/>
      </c>
      <c r="J19" s="290" t="str">
        <f t="shared" si="2"/>
        <v/>
      </c>
      <c r="K19" s="290" t="str">
        <f t="shared" si="2"/>
        <v/>
      </c>
      <c r="L19" s="290" t="str">
        <f t="shared" si="2"/>
        <v/>
      </c>
      <c r="M19" s="290" t="str">
        <f t="shared" si="5"/>
        <v/>
      </c>
      <c r="N19" s="290" t="str">
        <f t="shared" si="3"/>
        <v/>
      </c>
      <c r="O19" s="290" t="str">
        <f t="shared" si="3"/>
        <v/>
      </c>
      <c r="P19" s="291" t="str">
        <f t="shared" si="6"/>
        <v/>
      </c>
      <c r="R19" s="74">
        <f t="shared" ref="R19:R22" si="8">R18</f>
        <v>2</v>
      </c>
    </row>
    <row r="20" spans="1:18">
      <c r="A20" s="284">
        <v>19</v>
      </c>
      <c r="B20" s="545"/>
      <c r="C20" s="551"/>
      <c r="D20" s="285" t="s">
        <v>4026</v>
      </c>
      <c r="E20" s="369">
        <v>4</v>
      </c>
      <c r="F20" s="290" t="str" cm="1">
        <f t="array" ref="F20">INDEX('B 仕様入力シート　１２３４地域'!$AS$13:$AX$19,R20,非表示_出力帳票へのリンク!E20)</f>
        <v/>
      </c>
      <c r="G20" s="290" t="str" cm="1">
        <f t="array" ref="G20">INDEX('B 仕様入力シート　５６７地域'!$AS$13:$AX$19,R20,非表示_出力帳票へのリンク!E20)</f>
        <v/>
      </c>
      <c r="H20" s="290" t="str" cm="1">
        <f t="array" ref="H20">INDEX('B 仕様入力シート　８地域'!$AS$13:$AX$18,R20,非表示_出力帳票へのリンク!E20)</f>
        <v/>
      </c>
      <c r="I20" s="290" t="str">
        <f t="shared" si="4"/>
        <v/>
      </c>
      <c r="J20" s="290" t="str">
        <f t="shared" si="2"/>
        <v/>
      </c>
      <c r="K20" s="290" t="str">
        <f t="shared" si="2"/>
        <v/>
      </c>
      <c r="L20" s="290" t="str">
        <f t="shared" si="2"/>
        <v/>
      </c>
      <c r="M20" s="290" t="str">
        <f t="shared" si="5"/>
        <v/>
      </c>
      <c r="N20" s="290" t="str">
        <f t="shared" si="3"/>
        <v/>
      </c>
      <c r="O20" s="290" t="str">
        <f t="shared" si="3"/>
        <v/>
      </c>
      <c r="P20" s="291" t="str">
        <f t="shared" si="6"/>
        <v/>
      </c>
      <c r="R20" s="74">
        <f t="shared" si="8"/>
        <v>2</v>
      </c>
    </row>
    <row r="21" spans="1:18">
      <c r="A21" s="284">
        <v>20</v>
      </c>
      <c r="B21" s="545"/>
      <c r="C21" s="551"/>
      <c r="D21" s="285" t="s">
        <v>4027</v>
      </c>
      <c r="E21" s="369">
        <v>5</v>
      </c>
      <c r="F21" s="290" t="str" cm="1">
        <f t="array" ref="F21">INDEX('B 仕様入力シート　１２３４地域'!$AS$13:$AX$19,R21,非表示_出力帳票へのリンク!E21)</f>
        <v/>
      </c>
      <c r="G21" s="290" t="str" cm="1">
        <f t="array" ref="G21">INDEX('B 仕様入力シート　５６７地域'!$AS$13:$AX$19,R21,非表示_出力帳票へのリンク!E21)</f>
        <v/>
      </c>
      <c r="H21" s="290" t="str" cm="1">
        <f t="array" ref="H21">INDEX('B 仕様入力シート　８地域'!$AS$13:$AX$18,R21,非表示_出力帳票へのリンク!E21)</f>
        <v/>
      </c>
      <c r="I21" s="290" t="str">
        <f t="shared" si="4"/>
        <v/>
      </c>
      <c r="J21" s="290" t="str">
        <f t="shared" si="2"/>
        <v/>
      </c>
      <c r="K21" s="290" t="str">
        <f t="shared" si="2"/>
        <v/>
      </c>
      <c r="L21" s="290" t="str">
        <f t="shared" si="2"/>
        <v/>
      </c>
      <c r="M21" s="290" t="str">
        <f t="shared" si="5"/>
        <v/>
      </c>
      <c r="N21" s="290" t="str">
        <f t="shared" si="3"/>
        <v/>
      </c>
      <c r="O21" s="290" t="str">
        <f t="shared" si="3"/>
        <v/>
      </c>
      <c r="P21" s="291" t="str">
        <f t="shared" si="6"/>
        <v/>
      </c>
      <c r="R21" s="74">
        <f t="shared" si="8"/>
        <v>2</v>
      </c>
    </row>
    <row r="22" spans="1:18">
      <c r="A22" s="284">
        <v>21</v>
      </c>
      <c r="B22" s="545"/>
      <c r="C22" s="551"/>
      <c r="D22" s="285" t="s">
        <v>232</v>
      </c>
      <c r="E22" s="369">
        <v>6</v>
      </c>
      <c r="F22" s="290" t="str" cm="1">
        <f t="array" ref="F22">INDEX('B 仕様入力シート　１２３４地域'!$AS$13:$AX$19,R22,非表示_出力帳票へのリンク!E22)</f>
        <v/>
      </c>
      <c r="G22" s="290" t="str" cm="1">
        <f t="array" ref="G22">INDEX('B 仕様入力シート　５６７地域'!$AS$13:$AX$19,R22,非表示_出力帳票へのリンク!E22)</f>
        <v/>
      </c>
      <c r="H22" s="290" t="str" cm="1">
        <f t="array" ref="H22">INDEX('B 仕様入力シート　８地域'!$AS$13:$AX$18,R22,非表示_出力帳票へのリンク!E22)</f>
        <v/>
      </c>
      <c r="I22" s="290" t="str">
        <f t="shared" si="4"/>
        <v/>
      </c>
      <c r="J22" s="290" t="str">
        <f t="shared" si="2"/>
        <v/>
      </c>
      <c r="K22" s="290" t="str">
        <f t="shared" si="2"/>
        <v/>
      </c>
      <c r="L22" s="290" t="str">
        <f t="shared" si="2"/>
        <v/>
      </c>
      <c r="M22" s="290" t="str">
        <f t="shared" si="5"/>
        <v/>
      </c>
      <c r="N22" s="290" t="str">
        <f t="shared" si="3"/>
        <v/>
      </c>
      <c r="O22" s="290" t="str">
        <f t="shared" si="3"/>
        <v/>
      </c>
      <c r="P22" s="291" t="str">
        <f t="shared" si="6"/>
        <v/>
      </c>
      <c r="R22" s="74">
        <f t="shared" si="8"/>
        <v>2</v>
      </c>
    </row>
    <row r="23" spans="1:18">
      <c r="A23" s="284">
        <v>22</v>
      </c>
      <c r="B23" s="545"/>
      <c r="C23" s="550" t="s">
        <v>7</v>
      </c>
      <c r="D23" s="288" t="s">
        <v>20</v>
      </c>
      <c r="E23" s="368">
        <v>1</v>
      </c>
      <c r="F23" s="292" t="str" cm="1">
        <f t="array" ref="F23">INDEX('B 仕様入力シート　１２３４地域'!$AS$13:$AX$19,R23,非表示_出力帳票へのリンク!E23)</f>
        <v/>
      </c>
      <c r="G23" s="292" t="str" cm="1">
        <f t="array" ref="G23">INDEX('B 仕様入力シート　５６７地域'!$AS$13:$AX$19,R23,非表示_出力帳票へのリンク!E23)</f>
        <v/>
      </c>
      <c r="H23" s="297" t="s">
        <v>4096</v>
      </c>
      <c r="I23" s="292" t="str">
        <f t="shared" si="4"/>
        <v/>
      </c>
      <c r="J23" s="292" t="str">
        <f t="shared" si="2"/>
        <v/>
      </c>
      <c r="K23" s="292" t="str">
        <f t="shared" si="2"/>
        <v/>
      </c>
      <c r="L23" s="292" t="str">
        <f t="shared" si="2"/>
        <v/>
      </c>
      <c r="M23" s="292" t="str">
        <f t="shared" si="5"/>
        <v/>
      </c>
      <c r="N23" s="292" t="str">
        <f t="shared" si="3"/>
        <v/>
      </c>
      <c r="O23" s="292" t="str">
        <f t="shared" si="3"/>
        <v/>
      </c>
      <c r="P23" s="310" t="str">
        <f>IF($H23="","",$H23)</f>
        <v>－</v>
      </c>
      <c r="R23" s="74">
        <v>3</v>
      </c>
    </row>
    <row r="24" spans="1:18">
      <c r="A24" s="284">
        <v>23</v>
      </c>
      <c r="B24" s="545"/>
      <c r="C24" s="551"/>
      <c r="D24" s="285" t="s">
        <v>35</v>
      </c>
      <c r="E24" s="369">
        <v>2</v>
      </c>
      <c r="F24" s="290" t="str" cm="1">
        <f t="array" ref="F24">INDEX('B 仕様入力シート　１２３４地域'!$AS$13:$AX$19,R24,非表示_出力帳票へのリンク!E24)</f>
        <v/>
      </c>
      <c r="G24" s="290" t="str" cm="1">
        <f t="array" ref="G24">INDEX('B 仕様入力シート　５６７地域'!$AS$13:$AX$19,R24,非表示_出力帳票へのリンク!E24)</f>
        <v/>
      </c>
      <c r="H24" s="298" t="s">
        <v>4096</v>
      </c>
      <c r="I24" s="290" t="str">
        <f t="shared" si="4"/>
        <v/>
      </c>
      <c r="J24" s="290" t="str">
        <f t="shared" si="2"/>
        <v/>
      </c>
      <c r="K24" s="290" t="str">
        <f t="shared" si="2"/>
        <v/>
      </c>
      <c r="L24" s="290" t="str">
        <f t="shared" si="2"/>
        <v/>
      </c>
      <c r="M24" s="290" t="str">
        <f t="shared" si="5"/>
        <v/>
      </c>
      <c r="N24" s="290" t="str">
        <f t="shared" si="3"/>
        <v/>
      </c>
      <c r="O24" s="290" t="str">
        <f t="shared" si="3"/>
        <v/>
      </c>
      <c r="P24" s="311" t="str">
        <f t="shared" ref="P24:P57" si="9">IF($H24="","",$H24)</f>
        <v>－</v>
      </c>
      <c r="R24" s="74">
        <f>R23</f>
        <v>3</v>
      </c>
    </row>
    <row r="25" spans="1:18">
      <c r="A25" s="284">
        <v>24</v>
      </c>
      <c r="B25" s="545"/>
      <c r="C25" s="551"/>
      <c r="D25" s="285" t="s">
        <v>4025</v>
      </c>
      <c r="E25" s="369">
        <v>3</v>
      </c>
      <c r="F25" s="290" t="str" cm="1">
        <f t="array" ref="F25">INDEX('B 仕様入力シート　１２３４地域'!$AS$13:$AX$19,R25,非表示_出力帳票へのリンク!E25)</f>
        <v/>
      </c>
      <c r="G25" s="290" t="str" cm="1">
        <f t="array" ref="G25">INDEX('B 仕様入力シート　５６７地域'!$AS$13:$AX$19,R25,非表示_出力帳票へのリンク!E25)</f>
        <v/>
      </c>
      <c r="H25" s="298" t="s">
        <v>4096</v>
      </c>
      <c r="I25" s="290" t="str">
        <f t="shared" si="4"/>
        <v/>
      </c>
      <c r="J25" s="290" t="str">
        <f t="shared" si="2"/>
        <v/>
      </c>
      <c r="K25" s="290" t="str">
        <f t="shared" si="2"/>
        <v/>
      </c>
      <c r="L25" s="290" t="str">
        <f t="shared" si="2"/>
        <v/>
      </c>
      <c r="M25" s="290" t="str">
        <f t="shared" si="5"/>
        <v/>
      </c>
      <c r="N25" s="290" t="str">
        <f t="shared" si="3"/>
        <v/>
      </c>
      <c r="O25" s="290" t="str">
        <f t="shared" si="3"/>
        <v/>
      </c>
      <c r="P25" s="311" t="str">
        <f t="shared" si="9"/>
        <v>－</v>
      </c>
      <c r="R25" s="74">
        <f t="shared" ref="R25:R28" si="10">R24</f>
        <v>3</v>
      </c>
    </row>
    <row r="26" spans="1:18">
      <c r="A26" s="284">
        <v>25</v>
      </c>
      <c r="B26" s="545"/>
      <c r="C26" s="551"/>
      <c r="D26" s="285" t="s">
        <v>4026</v>
      </c>
      <c r="E26" s="369">
        <v>4</v>
      </c>
      <c r="F26" s="290" t="str" cm="1">
        <f t="array" ref="F26">INDEX('B 仕様入力シート　１２３４地域'!$AS$13:$AX$19,R26,非表示_出力帳票へのリンク!E26)</f>
        <v/>
      </c>
      <c r="G26" s="290" t="str" cm="1">
        <f t="array" ref="G26">INDEX('B 仕様入力シート　５６７地域'!$AS$13:$AX$19,R26,非表示_出力帳票へのリンク!E26)</f>
        <v/>
      </c>
      <c r="H26" s="298" t="s">
        <v>4096</v>
      </c>
      <c r="I26" s="290" t="str">
        <f t="shared" si="4"/>
        <v/>
      </c>
      <c r="J26" s="290" t="str">
        <f t="shared" si="2"/>
        <v/>
      </c>
      <c r="K26" s="290" t="str">
        <f t="shared" si="2"/>
        <v/>
      </c>
      <c r="L26" s="290" t="str">
        <f t="shared" si="2"/>
        <v/>
      </c>
      <c r="M26" s="290" t="str">
        <f t="shared" si="5"/>
        <v/>
      </c>
      <c r="N26" s="290" t="str">
        <f t="shared" si="3"/>
        <v/>
      </c>
      <c r="O26" s="290" t="str">
        <f t="shared" si="3"/>
        <v/>
      </c>
      <c r="P26" s="311" t="str">
        <f t="shared" si="9"/>
        <v>－</v>
      </c>
      <c r="R26" s="74">
        <f t="shared" si="10"/>
        <v>3</v>
      </c>
    </row>
    <row r="27" spans="1:18">
      <c r="A27" s="284">
        <v>26</v>
      </c>
      <c r="B27" s="545"/>
      <c r="C27" s="551"/>
      <c r="D27" s="285" t="s">
        <v>4027</v>
      </c>
      <c r="E27" s="369">
        <v>5</v>
      </c>
      <c r="F27" s="290" t="str" cm="1">
        <f t="array" ref="F27">INDEX('B 仕様入力シート　１２３４地域'!$AS$13:$AX$19,R27,非表示_出力帳票へのリンク!E27)</f>
        <v/>
      </c>
      <c r="G27" s="290" t="str" cm="1">
        <f t="array" ref="G27">INDEX('B 仕様入力シート　５６７地域'!$AS$13:$AX$19,R27,非表示_出力帳票へのリンク!E27)</f>
        <v/>
      </c>
      <c r="H27" s="298" t="s">
        <v>4096</v>
      </c>
      <c r="I27" s="290" t="str">
        <f t="shared" si="4"/>
        <v/>
      </c>
      <c r="J27" s="290" t="str">
        <f t="shared" si="2"/>
        <v/>
      </c>
      <c r="K27" s="290" t="str">
        <f t="shared" si="2"/>
        <v/>
      </c>
      <c r="L27" s="290" t="str">
        <f t="shared" si="2"/>
        <v/>
      </c>
      <c r="M27" s="290" t="str">
        <f t="shared" si="5"/>
        <v/>
      </c>
      <c r="N27" s="290" t="str">
        <f t="shared" si="3"/>
        <v/>
      </c>
      <c r="O27" s="290" t="str">
        <f t="shared" si="3"/>
        <v/>
      </c>
      <c r="P27" s="311" t="str">
        <f t="shared" si="9"/>
        <v>－</v>
      </c>
      <c r="R27" s="74">
        <f t="shared" si="10"/>
        <v>3</v>
      </c>
    </row>
    <row r="28" spans="1:18">
      <c r="A28" s="284">
        <v>27</v>
      </c>
      <c r="B28" s="545"/>
      <c r="C28" s="552"/>
      <c r="D28" s="289" t="s">
        <v>232</v>
      </c>
      <c r="E28" s="370">
        <v>6</v>
      </c>
      <c r="F28" s="294" t="str" cm="1">
        <f t="array" ref="F28">INDEX('B 仕様入力シート　１２３４地域'!$AS$13:$AX$19,R28,非表示_出力帳票へのリンク!E28)</f>
        <v/>
      </c>
      <c r="G28" s="294" t="str" cm="1">
        <f t="array" ref="G28">INDEX('B 仕様入力シート　５６７地域'!$AS$13:$AX$19,R28,非表示_出力帳票へのリンク!E28)</f>
        <v/>
      </c>
      <c r="H28" s="299" t="s">
        <v>4096</v>
      </c>
      <c r="I28" s="294" t="str">
        <f t="shared" si="4"/>
        <v/>
      </c>
      <c r="J28" s="294" t="str">
        <f t="shared" si="2"/>
        <v/>
      </c>
      <c r="K28" s="294" t="str">
        <f t="shared" si="2"/>
        <v/>
      </c>
      <c r="L28" s="294" t="str">
        <f t="shared" si="2"/>
        <v/>
      </c>
      <c r="M28" s="294" t="str">
        <f t="shared" si="5"/>
        <v/>
      </c>
      <c r="N28" s="294" t="str">
        <f t="shared" si="3"/>
        <v/>
      </c>
      <c r="O28" s="294" t="str">
        <f t="shared" si="3"/>
        <v/>
      </c>
      <c r="P28" s="312" t="str">
        <f t="shared" si="9"/>
        <v>－</v>
      </c>
      <c r="R28" s="74">
        <f t="shared" si="10"/>
        <v>3</v>
      </c>
    </row>
    <row r="29" spans="1:18">
      <c r="A29" s="284">
        <v>28</v>
      </c>
      <c r="B29" s="545"/>
      <c r="C29" s="553" t="s">
        <v>4028</v>
      </c>
      <c r="D29" s="285" t="s">
        <v>20</v>
      </c>
      <c r="E29" s="369">
        <v>1</v>
      </c>
      <c r="F29" s="290" t="str" cm="1">
        <f t="array" ref="F29">INDEX('B 仕様入力シート　１２３４地域'!$AS$13:$AX$19,R29,非表示_出力帳票へのリンク!E29)</f>
        <v/>
      </c>
      <c r="G29" s="290" t="str" cm="1">
        <f t="array" ref="G29">INDEX('B 仕様入力シート　５６７地域'!$AS$13:$AX$19,R29,非表示_出力帳票へのリンク!E29)</f>
        <v/>
      </c>
      <c r="H29" s="298" t="s">
        <v>4096</v>
      </c>
      <c r="I29" s="290" t="str">
        <f t="shared" si="4"/>
        <v/>
      </c>
      <c r="J29" s="290" t="str">
        <f t="shared" si="2"/>
        <v/>
      </c>
      <c r="K29" s="290" t="str">
        <f t="shared" si="2"/>
        <v/>
      </c>
      <c r="L29" s="290" t="str">
        <f t="shared" si="2"/>
        <v/>
      </c>
      <c r="M29" s="290" t="str">
        <f t="shared" si="5"/>
        <v/>
      </c>
      <c r="N29" s="290" t="str">
        <f t="shared" si="3"/>
        <v/>
      </c>
      <c r="O29" s="290" t="str">
        <f t="shared" si="3"/>
        <v/>
      </c>
      <c r="P29" s="311" t="str">
        <f t="shared" si="9"/>
        <v>－</v>
      </c>
      <c r="R29" s="74">
        <v>4</v>
      </c>
    </row>
    <row r="30" spans="1:18">
      <c r="A30" s="284">
        <v>29</v>
      </c>
      <c r="B30" s="545"/>
      <c r="C30" s="551"/>
      <c r="D30" s="285" t="s">
        <v>35</v>
      </c>
      <c r="E30" s="369">
        <v>2</v>
      </c>
      <c r="F30" s="290" t="str" cm="1">
        <f t="array" ref="F30">INDEX('B 仕様入力シート　１２３４地域'!$AS$13:$AX$19,R30,非表示_出力帳票へのリンク!E30)</f>
        <v/>
      </c>
      <c r="G30" s="290" t="str" cm="1">
        <f t="array" ref="G30">INDEX('B 仕様入力シート　５６７地域'!$AS$13:$AX$19,R30,非表示_出力帳票へのリンク!E30)</f>
        <v/>
      </c>
      <c r="H30" s="298" t="s">
        <v>4096</v>
      </c>
      <c r="I30" s="290" t="str">
        <f t="shared" si="4"/>
        <v/>
      </c>
      <c r="J30" s="290" t="str">
        <f t="shared" si="2"/>
        <v/>
      </c>
      <c r="K30" s="290" t="str">
        <f t="shared" si="2"/>
        <v/>
      </c>
      <c r="L30" s="290" t="str">
        <f t="shared" si="2"/>
        <v/>
      </c>
      <c r="M30" s="290" t="str">
        <f t="shared" si="5"/>
        <v/>
      </c>
      <c r="N30" s="290" t="str">
        <f t="shared" si="3"/>
        <v/>
      </c>
      <c r="O30" s="290" t="str">
        <f t="shared" si="3"/>
        <v/>
      </c>
      <c r="P30" s="311" t="str">
        <f t="shared" si="9"/>
        <v>－</v>
      </c>
      <c r="R30" s="74">
        <f>R29</f>
        <v>4</v>
      </c>
    </row>
    <row r="31" spans="1:18">
      <c r="A31" s="284">
        <v>30</v>
      </c>
      <c r="B31" s="545"/>
      <c r="C31" s="551"/>
      <c r="D31" s="285" t="s">
        <v>4025</v>
      </c>
      <c r="E31" s="369">
        <v>3</v>
      </c>
      <c r="F31" s="290" t="str" cm="1">
        <f t="array" ref="F31">INDEX('B 仕様入力シート　１２３４地域'!$AS$13:$AX$19,R31,非表示_出力帳票へのリンク!E31)</f>
        <v/>
      </c>
      <c r="G31" s="290" t="str" cm="1">
        <f t="array" ref="G31">INDEX('B 仕様入力シート　５６７地域'!$AS$13:$AX$19,R31,非表示_出力帳票へのリンク!E31)</f>
        <v/>
      </c>
      <c r="H31" s="298" t="s">
        <v>4096</v>
      </c>
      <c r="I31" s="290" t="str">
        <f t="shared" si="4"/>
        <v/>
      </c>
      <c r="J31" s="290" t="str">
        <f t="shared" si="4"/>
        <v/>
      </c>
      <c r="K31" s="290" t="str">
        <f t="shared" si="4"/>
        <v/>
      </c>
      <c r="L31" s="290" t="str">
        <f t="shared" si="4"/>
        <v/>
      </c>
      <c r="M31" s="290" t="str">
        <f t="shared" si="5"/>
        <v/>
      </c>
      <c r="N31" s="290" t="str">
        <f t="shared" si="5"/>
        <v/>
      </c>
      <c r="O31" s="290" t="str">
        <f t="shared" si="5"/>
        <v/>
      </c>
      <c r="P31" s="311" t="str">
        <f t="shared" si="9"/>
        <v>－</v>
      </c>
      <c r="R31" s="74">
        <f t="shared" ref="R31:R34" si="11">R30</f>
        <v>4</v>
      </c>
    </row>
    <row r="32" spans="1:18">
      <c r="A32" s="284">
        <v>31</v>
      </c>
      <c r="B32" s="545"/>
      <c r="C32" s="551"/>
      <c r="D32" s="285" t="s">
        <v>4026</v>
      </c>
      <c r="E32" s="369">
        <v>4</v>
      </c>
      <c r="F32" s="290" t="str" cm="1">
        <f t="array" ref="F32">INDEX('B 仕様入力シート　１２３４地域'!$AS$13:$AX$19,R32,非表示_出力帳票へのリンク!E32)</f>
        <v/>
      </c>
      <c r="G32" s="290" t="str" cm="1">
        <f t="array" ref="G32">INDEX('B 仕様入力シート　５６７地域'!$AS$13:$AX$19,R32,非表示_出力帳票へのリンク!E32)</f>
        <v/>
      </c>
      <c r="H32" s="298" t="s">
        <v>4096</v>
      </c>
      <c r="I32" s="290" t="str">
        <f t="shared" ref="I32:L51" si="12">$F32</f>
        <v/>
      </c>
      <c r="J32" s="290" t="str">
        <f t="shared" si="12"/>
        <v/>
      </c>
      <c r="K32" s="290" t="str">
        <f t="shared" si="12"/>
        <v/>
      </c>
      <c r="L32" s="290" t="str">
        <f t="shared" si="12"/>
        <v/>
      </c>
      <c r="M32" s="290" t="str">
        <f t="shared" ref="M32:O50" si="13">$G32</f>
        <v/>
      </c>
      <c r="N32" s="290" t="str">
        <f t="shared" si="13"/>
        <v/>
      </c>
      <c r="O32" s="290" t="str">
        <f t="shared" si="13"/>
        <v/>
      </c>
      <c r="P32" s="311" t="str">
        <f t="shared" si="9"/>
        <v>－</v>
      </c>
      <c r="R32" s="74">
        <f t="shared" si="11"/>
        <v>4</v>
      </c>
    </row>
    <row r="33" spans="1:18">
      <c r="A33" s="284">
        <v>32</v>
      </c>
      <c r="B33" s="545"/>
      <c r="C33" s="551"/>
      <c r="D33" s="285" t="s">
        <v>4027</v>
      </c>
      <c r="E33" s="369">
        <v>5</v>
      </c>
      <c r="F33" s="290" t="str" cm="1">
        <f t="array" ref="F33">INDEX('B 仕様入力シート　１２３４地域'!$AS$13:$AX$19,R33,非表示_出力帳票へのリンク!E33)</f>
        <v/>
      </c>
      <c r="G33" s="290" t="str" cm="1">
        <f t="array" ref="G33">INDEX('B 仕様入力シート　５６７地域'!$AS$13:$AX$19,R33,非表示_出力帳票へのリンク!E33)</f>
        <v/>
      </c>
      <c r="H33" s="298" t="s">
        <v>4096</v>
      </c>
      <c r="I33" s="290" t="str">
        <f t="shared" si="12"/>
        <v/>
      </c>
      <c r="J33" s="290" t="str">
        <f t="shared" si="12"/>
        <v/>
      </c>
      <c r="K33" s="290" t="str">
        <f t="shared" si="12"/>
        <v/>
      </c>
      <c r="L33" s="290" t="str">
        <f t="shared" si="12"/>
        <v/>
      </c>
      <c r="M33" s="290" t="str">
        <f t="shared" si="13"/>
        <v/>
      </c>
      <c r="N33" s="290" t="str">
        <f t="shared" si="13"/>
        <v/>
      </c>
      <c r="O33" s="290" t="str">
        <f t="shared" si="13"/>
        <v/>
      </c>
      <c r="P33" s="311" t="str">
        <f t="shared" si="9"/>
        <v>－</v>
      </c>
      <c r="R33" s="74">
        <f t="shared" si="11"/>
        <v>4</v>
      </c>
    </row>
    <row r="34" spans="1:18">
      <c r="A34" s="284">
        <v>33</v>
      </c>
      <c r="B34" s="545"/>
      <c r="C34" s="551"/>
      <c r="D34" s="285" t="s">
        <v>232</v>
      </c>
      <c r="E34" s="369">
        <v>6</v>
      </c>
      <c r="F34" s="290" t="str" cm="1">
        <f t="array" ref="F34">INDEX('B 仕様入力シート　１２３４地域'!$AS$13:$AX$19,R34,非表示_出力帳票へのリンク!E34)</f>
        <v/>
      </c>
      <c r="G34" s="290" t="str" cm="1">
        <f t="array" ref="G34">INDEX('B 仕様入力シート　５６７地域'!$AS$13:$AX$19,R34,非表示_出力帳票へのリンク!E34)</f>
        <v/>
      </c>
      <c r="H34" s="298" t="s">
        <v>4096</v>
      </c>
      <c r="I34" s="290" t="str">
        <f t="shared" si="12"/>
        <v/>
      </c>
      <c r="J34" s="290" t="str">
        <f t="shared" si="12"/>
        <v/>
      </c>
      <c r="K34" s="290" t="str">
        <f t="shared" si="12"/>
        <v/>
      </c>
      <c r="L34" s="290" t="str">
        <f t="shared" si="12"/>
        <v/>
      </c>
      <c r="M34" s="290" t="str">
        <f t="shared" si="13"/>
        <v/>
      </c>
      <c r="N34" s="290" t="str">
        <f t="shared" si="13"/>
        <v/>
      </c>
      <c r="O34" s="290" t="str">
        <f t="shared" si="13"/>
        <v/>
      </c>
      <c r="P34" s="311" t="str">
        <f t="shared" si="9"/>
        <v>－</v>
      </c>
      <c r="R34" s="74">
        <f t="shared" si="11"/>
        <v>4</v>
      </c>
    </row>
    <row r="35" spans="1:18">
      <c r="A35" s="284">
        <v>34</v>
      </c>
      <c r="B35" s="545"/>
      <c r="C35" s="554" t="s">
        <v>4029</v>
      </c>
      <c r="D35" s="288" t="s">
        <v>20</v>
      </c>
      <c r="E35" s="368">
        <v>1</v>
      </c>
      <c r="F35" s="292" t="str" cm="1">
        <f t="array" ref="F35">INDEX('B 仕様入力シート　１２３４地域'!$AS$13:$AX$19,R35,非表示_出力帳票へのリンク!E35)</f>
        <v/>
      </c>
      <c r="G35" s="292" t="str" cm="1">
        <f t="array" ref="G35">INDEX('B 仕様入力シート　５６７地域'!$AS$13:$AX$19,R35,非表示_出力帳票へのリンク!E35)</f>
        <v/>
      </c>
      <c r="H35" s="297" t="s">
        <v>4096</v>
      </c>
      <c r="I35" s="292" t="str">
        <f t="shared" si="12"/>
        <v/>
      </c>
      <c r="J35" s="292" t="str">
        <f t="shared" si="12"/>
        <v/>
      </c>
      <c r="K35" s="292" t="str">
        <f t="shared" si="12"/>
        <v/>
      </c>
      <c r="L35" s="292" t="str">
        <f t="shared" si="12"/>
        <v/>
      </c>
      <c r="M35" s="292" t="str">
        <f t="shared" si="13"/>
        <v/>
      </c>
      <c r="N35" s="292" t="str">
        <f t="shared" si="13"/>
        <v/>
      </c>
      <c r="O35" s="292" t="str">
        <f t="shared" si="13"/>
        <v/>
      </c>
      <c r="P35" s="310" t="str">
        <f t="shared" si="9"/>
        <v>－</v>
      </c>
      <c r="R35" s="74">
        <v>5</v>
      </c>
    </row>
    <row r="36" spans="1:18">
      <c r="A36" s="284">
        <v>35</v>
      </c>
      <c r="B36" s="545"/>
      <c r="C36" s="551"/>
      <c r="D36" s="285" t="s">
        <v>35</v>
      </c>
      <c r="E36" s="369">
        <v>2</v>
      </c>
      <c r="F36" s="290" t="str" cm="1">
        <f t="array" ref="F36">INDEX('B 仕様入力シート　１２３４地域'!$AS$13:$AX$19,R36,非表示_出力帳票へのリンク!E36)</f>
        <v/>
      </c>
      <c r="G36" s="290" t="str" cm="1">
        <f t="array" ref="G36">INDEX('B 仕様入力シート　５６７地域'!$AS$13:$AX$19,R36,非表示_出力帳票へのリンク!E36)</f>
        <v/>
      </c>
      <c r="H36" s="298" t="s">
        <v>4096</v>
      </c>
      <c r="I36" s="290" t="str">
        <f t="shared" si="12"/>
        <v/>
      </c>
      <c r="J36" s="290" t="str">
        <f t="shared" si="12"/>
        <v/>
      </c>
      <c r="K36" s="290" t="str">
        <f t="shared" si="12"/>
        <v/>
      </c>
      <c r="L36" s="290" t="str">
        <f t="shared" si="12"/>
        <v/>
      </c>
      <c r="M36" s="290" t="str">
        <f t="shared" si="13"/>
        <v/>
      </c>
      <c r="N36" s="290" t="str">
        <f t="shared" si="13"/>
        <v/>
      </c>
      <c r="O36" s="290" t="str">
        <f t="shared" si="13"/>
        <v/>
      </c>
      <c r="P36" s="311" t="str">
        <f t="shared" si="9"/>
        <v>－</v>
      </c>
      <c r="R36" s="74">
        <f>R35</f>
        <v>5</v>
      </c>
    </row>
    <row r="37" spans="1:18">
      <c r="A37" s="284">
        <v>36</v>
      </c>
      <c r="B37" s="545"/>
      <c r="C37" s="551"/>
      <c r="D37" s="285" t="s">
        <v>4025</v>
      </c>
      <c r="E37" s="369">
        <v>3</v>
      </c>
      <c r="F37" s="290" t="str" cm="1">
        <f t="array" ref="F37">INDEX('B 仕様入力シート　１２３４地域'!$AS$13:$AX$19,R37,非表示_出力帳票へのリンク!E37)</f>
        <v/>
      </c>
      <c r="G37" s="290" t="str" cm="1">
        <f t="array" ref="G37">INDEX('B 仕様入力シート　５６７地域'!$AS$13:$AX$19,R37,非表示_出力帳票へのリンク!E37)</f>
        <v/>
      </c>
      <c r="H37" s="298" t="s">
        <v>4096</v>
      </c>
      <c r="I37" s="290" t="str">
        <f t="shared" si="12"/>
        <v/>
      </c>
      <c r="J37" s="290" t="str">
        <f t="shared" si="12"/>
        <v/>
      </c>
      <c r="K37" s="290" t="str">
        <f t="shared" si="12"/>
        <v/>
      </c>
      <c r="L37" s="290" t="str">
        <f t="shared" si="12"/>
        <v/>
      </c>
      <c r="M37" s="290" t="str">
        <f t="shared" si="13"/>
        <v/>
      </c>
      <c r="N37" s="290" t="str">
        <f t="shared" si="13"/>
        <v/>
      </c>
      <c r="O37" s="290" t="str">
        <f t="shared" si="13"/>
        <v/>
      </c>
      <c r="P37" s="311" t="str">
        <f t="shared" si="9"/>
        <v>－</v>
      </c>
      <c r="R37" s="74">
        <f t="shared" ref="R37:R40" si="14">R36</f>
        <v>5</v>
      </c>
    </row>
    <row r="38" spans="1:18">
      <c r="A38" s="284">
        <v>37</v>
      </c>
      <c r="B38" s="545"/>
      <c r="C38" s="551"/>
      <c r="D38" s="285" t="s">
        <v>4026</v>
      </c>
      <c r="E38" s="369">
        <v>4</v>
      </c>
      <c r="F38" s="290" t="str" cm="1">
        <f t="array" ref="F38">INDEX('B 仕様入力シート　１２３４地域'!$AS$13:$AX$19,R38,非表示_出力帳票へのリンク!E38)</f>
        <v/>
      </c>
      <c r="G38" s="290" t="str" cm="1">
        <f t="array" ref="G38">INDEX('B 仕様入力シート　５６７地域'!$AS$13:$AX$19,R38,非表示_出力帳票へのリンク!E38)</f>
        <v/>
      </c>
      <c r="H38" s="298" t="s">
        <v>4096</v>
      </c>
      <c r="I38" s="290" t="str">
        <f t="shared" si="12"/>
        <v/>
      </c>
      <c r="J38" s="290" t="str">
        <f t="shared" si="12"/>
        <v/>
      </c>
      <c r="K38" s="290" t="str">
        <f t="shared" si="12"/>
        <v/>
      </c>
      <c r="L38" s="290" t="str">
        <f t="shared" si="12"/>
        <v/>
      </c>
      <c r="M38" s="290" t="str">
        <f t="shared" si="13"/>
        <v/>
      </c>
      <c r="N38" s="290" t="str">
        <f t="shared" si="13"/>
        <v/>
      </c>
      <c r="O38" s="290" t="str">
        <f t="shared" si="13"/>
        <v/>
      </c>
      <c r="P38" s="311" t="str">
        <f t="shared" si="9"/>
        <v>－</v>
      </c>
      <c r="R38" s="74">
        <f t="shared" si="14"/>
        <v>5</v>
      </c>
    </row>
    <row r="39" spans="1:18">
      <c r="A39" s="284">
        <v>38</v>
      </c>
      <c r="B39" s="545"/>
      <c r="C39" s="551"/>
      <c r="D39" s="285" t="s">
        <v>4027</v>
      </c>
      <c r="E39" s="369">
        <v>5</v>
      </c>
      <c r="F39" s="290" t="str" cm="1">
        <f t="array" ref="F39">INDEX('B 仕様入力シート　１２３４地域'!$AS$13:$AX$19,R39,非表示_出力帳票へのリンク!E39)</f>
        <v/>
      </c>
      <c r="G39" s="290" t="str" cm="1">
        <f t="array" ref="G39">INDEX('B 仕様入力シート　５６７地域'!$AS$13:$AX$19,R39,非表示_出力帳票へのリンク!E39)</f>
        <v/>
      </c>
      <c r="H39" s="298" t="s">
        <v>4096</v>
      </c>
      <c r="I39" s="290" t="str">
        <f t="shared" si="12"/>
        <v/>
      </c>
      <c r="J39" s="290" t="str">
        <f t="shared" si="12"/>
        <v/>
      </c>
      <c r="K39" s="290" t="str">
        <f t="shared" si="12"/>
        <v/>
      </c>
      <c r="L39" s="290" t="str">
        <f t="shared" si="12"/>
        <v/>
      </c>
      <c r="M39" s="290" t="str">
        <f t="shared" si="13"/>
        <v/>
      </c>
      <c r="N39" s="290" t="str">
        <f t="shared" si="13"/>
        <v/>
      </c>
      <c r="O39" s="290" t="str">
        <f t="shared" si="13"/>
        <v/>
      </c>
      <c r="P39" s="311" t="str">
        <f t="shared" si="9"/>
        <v>－</v>
      </c>
      <c r="R39" s="74">
        <f t="shared" si="14"/>
        <v>5</v>
      </c>
    </row>
    <row r="40" spans="1:18">
      <c r="A40" s="284">
        <v>39</v>
      </c>
      <c r="B40" s="545"/>
      <c r="C40" s="552"/>
      <c r="D40" s="289" t="s">
        <v>232</v>
      </c>
      <c r="E40" s="370">
        <v>6</v>
      </c>
      <c r="F40" s="294" t="str" cm="1">
        <f t="array" ref="F40">INDEX('B 仕様入力シート　１２３４地域'!$AS$13:$AX$19,R40,非表示_出力帳票へのリンク!E40)</f>
        <v/>
      </c>
      <c r="G40" s="294" t="str" cm="1">
        <f t="array" ref="G40">INDEX('B 仕様入力シート　５６７地域'!$AS$13:$AX$19,R40,非表示_出力帳票へのリンク!E40)</f>
        <v/>
      </c>
      <c r="H40" s="299" t="s">
        <v>4096</v>
      </c>
      <c r="I40" s="294" t="str">
        <f t="shared" si="12"/>
        <v/>
      </c>
      <c r="J40" s="294" t="str">
        <f t="shared" si="12"/>
        <v/>
      </c>
      <c r="K40" s="294" t="str">
        <f t="shared" si="12"/>
        <v/>
      </c>
      <c r="L40" s="294" t="str">
        <f t="shared" si="12"/>
        <v/>
      </c>
      <c r="M40" s="294" t="str">
        <f t="shared" si="13"/>
        <v/>
      </c>
      <c r="N40" s="294" t="str">
        <f t="shared" si="13"/>
        <v/>
      </c>
      <c r="O40" s="294" t="str">
        <f t="shared" si="13"/>
        <v/>
      </c>
      <c r="P40" s="312" t="str">
        <f t="shared" si="9"/>
        <v>－</v>
      </c>
      <c r="R40" s="74">
        <f t="shared" si="14"/>
        <v>5</v>
      </c>
    </row>
    <row r="41" spans="1:18" ht="15.75" customHeight="1">
      <c r="A41" s="284">
        <v>40</v>
      </c>
      <c r="B41" s="545"/>
      <c r="C41" s="548" t="s">
        <v>4031</v>
      </c>
      <c r="D41" s="285" t="s">
        <v>35</v>
      </c>
      <c r="E41" s="369">
        <v>2</v>
      </c>
      <c r="F41" s="290" t="str" cm="1">
        <f t="array" ref="F41">INDEX('B 仕様入力シート　１２３４地域'!$AS$13:$AX$19,R41,非表示_出力帳票へのリンク!E41)</f>
        <v/>
      </c>
      <c r="G41" s="290" t="str" cm="1">
        <f t="array" ref="G41">INDEX('B 仕様入力シート　５６７地域'!$AS$13:$AX$19,R41,非表示_出力帳票へのリンク!E41)</f>
        <v/>
      </c>
      <c r="H41" s="298" t="s">
        <v>4096</v>
      </c>
      <c r="I41" s="290" t="str">
        <f t="shared" si="12"/>
        <v/>
      </c>
      <c r="J41" s="290" t="str">
        <f t="shared" si="12"/>
        <v/>
      </c>
      <c r="K41" s="290" t="str">
        <f t="shared" si="12"/>
        <v/>
      </c>
      <c r="L41" s="290" t="str">
        <f t="shared" si="12"/>
        <v/>
      </c>
      <c r="M41" s="290" t="str">
        <f t="shared" si="13"/>
        <v/>
      </c>
      <c r="N41" s="290" t="str">
        <f t="shared" si="13"/>
        <v/>
      </c>
      <c r="O41" s="290" t="str">
        <f t="shared" si="13"/>
        <v/>
      </c>
      <c r="P41" s="311" t="str">
        <f t="shared" si="9"/>
        <v>－</v>
      </c>
      <c r="R41" s="74">
        <v>6</v>
      </c>
    </row>
    <row r="42" spans="1:18">
      <c r="A42" s="284">
        <v>41</v>
      </c>
      <c r="B42" s="545"/>
      <c r="C42" s="548"/>
      <c r="D42" s="285" t="s">
        <v>4025</v>
      </c>
      <c r="E42" s="369">
        <v>3</v>
      </c>
      <c r="F42" s="290" t="str" cm="1">
        <f t="array" ref="F42">INDEX('B 仕様入力シート　１２３４地域'!$AS$13:$AX$19,R42,非表示_出力帳票へのリンク!E42)</f>
        <v/>
      </c>
      <c r="G42" s="290" t="str" cm="1">
        <f t="array" ref="G42">INDEX('B 仕様入力シート　５６７地域'!$AS$13:$AX$19,R42,非表示_出力帳票へのリンク!E42)</f>
        <v/>
      </c>
      <c r="H42" s="298" t="s">
        <v>4096</v>
      </c>
      <c r="I42" s="290" t="str">
        <f t="shared" si="12"/>
        <v/>
      </c>
      <c r="J42" s="290" t="str">
        <f t="shared" si="12"/>
        <v/>
      </c>
      <c r="K42" s="290" t="str">
        <f t="shared" si="12"/>
        <v/>
      </c>
      <c r="L42" s="290" t="str">
        <f t="shared" si="12"/>
        <v/>
      </c>
      <c r="M42" s="290" t="str">
        <f t="shared" si="13"/>
        <v/>
      </c>
      <c r="N42" s="290" t="str">
        <f t="shared" si="13"/>
        <v/>
      </c>
      <c r="O42" s="290" t="str">
        <f t="shared" si="13"/>
        <v/>
      </c>
      <c r="P42" s="311" t="str">
        <f t="shared" si="9"/>
        <v>－</v>
      </c>
      <c r="R42" s="74">
        <f>R41</f>
        <v>6</v>
      </c>
    </row>
    <row r="43" spans="1:18">
      <c r="A43" s="284">
        <v>42</v>
      </c>
      <c r="B43" s="545"/>
      <c r="C43" s="548"/>
      <c r="D43" s="285" t="s">
        <v>4026</v>
      </c>
      <c r="E43" s="369">
        <v>4</v>
      </c>
      <c r="F43" s="290" t="str" cm="1">
        <f t="array" ref="F43">INDEX('B 仕様入力シート　１２３４地域'!$AS$13:$AX$19,R43,非表示_出力帳票へのリンク!E43)</f>
        <v/>
      </c>
      <c r="G43" s="290" t="str" cm="1">
        <f t="array" ref="G43">INDEX('B 仕様入力シート　５６７地域'!$AS$13:$AX$19,R43,非表示_出力帳票へのリンク!E43)</f>
        <v/>
      </c>
      <c r="H43" s="298" t="s">
        <v>4096</v>
      </c>
      <c r="I43" s="290" t="str">
        <f t="shared" si="12"/>
        <v/>
      </c>
      <c r="J43" s="290" t="str">
        <f t="shared" si="12"/>
        <v/>
      </c>
      <c r="K43" s="290" t="str">
        <f t="shared" si="12"/>
        <v/>
      </c>
      <c r="L43" s="290" t="str">
        <f t="shared" si="12"/>
        <v/>
      </c>
      <c r="M43" s="290" t="str">
        <f t="shared" si="13"/>
        <v/>
      </c>
      <c r="N43" s="290" t="str">
        <f t="shared" si="13"/>
        <v/>
      </c>
      <c r="O43" s="290" t="str">
        <f t="shared" si="13"/>
        <v/>
      </c>
      <c r="P43" s="311" t="str">
        <f t="shared" si="9"/>
        <v>－</v>
      </c>
      <c r="R43" s="74">
        <f t="shared" ref="R43:R50" si="15">R42</f>
        <v>6</v>
      </c>
    </row>
    <row r="44" spans="1:18">
      <c r="A44" s="284">
        <v>43</v>
      </c>
      <c r="B44" s="545"/>
      <c r="C44" s="548"/>
      <c r="D44" s="285" t="s">
        <v>4027</v>
      </c>
      <c r="E44" s="369">
        <v>5</v>
      </c>
      <c r="F44" s="290" t="str" cm="1">
        <f t="array" ref="F44">INDEX('B 仕様入力シート　１２３４地域'!$AS$13:$AX$19,R44,非表示_出力帳票へのリンク!E44)</f>
        <v/>
      </c>
      <c r="G44" s="290" t="str" cm="1">
        <f t="array" ref="G44">INDEX('B 仕様入力シート　５６７地域'!$AS$13:$AX$19,R44,非表示_出力帳票へのリンク!E44)</f>
        <v/>
      </c>
      <c r="H44" s="298" t="s">
        <v>4096</v>
      </c>
      <c r="I44" s="290" t="str">
        <f t="shared" si="12"/>
        <v/>
      </c>
      <c r="J44" s="290" t="str">
        <f t="shared" si="12"/>
        <v/>
      </c>
      <c r="K44" s="290" t="str">
        <f t="shared" si="12"/>
        <v/>
      </c>
      <c r="L44" s="290" t="str">
        <f t="shared" si="12"/>
        <v/>
      </c>
      <c r="M44" s="290" t="str">
        <f t="shared" si="13"/>
        <v/>
      </c>
      <c r="N44" s="290" t="str">
        <f t="shared" si="13"/>
        <v/>
      </c>
      <c r="O44" s="290" t="str">
        <f t="shared" si="13"/>
        <v/>
      </c>
      <c r="P44" s="311" t="str">
        <f t="shared" si="9"/>
        <v>－</v>
      </c>
      <c r="R44" s="74">
        <f t="shared" si="15"/>
        <v>6</v>
      </c>
    </row>
    <row r="45" spans="1:18">
      <c r="A45" s="284">
        <v>44</v>
      </c>
      <c r="B45" s="545"/>
      <c r="C45" s="548"/>
      <c r="D45" s="285" t="s">
        <v>232</v>
      </c>
      <c r="E45" s="369">
        <v>6</v>
      </c>
      <c r="F45" s="290" t="str" cm="1">
        <f t="array" ref="F45">INDEX('B 仕様入力シート　１２３４地域'!$AS$13:$AX$19,R45,非表示_出力帳票へのリンク!E45)</f>
        <v/>
      </c>
      <c r="G45" s="290" t="str" cm="1">
        <f t="array" ref="G45">INDEX('B 仕様入力シート　５６７地域'!$AS$13:$AX$19,R45,非表示_出力帳票へのリンク!E45)</f>
        <v/>
      </c>
      <c r="H45" s="298" t="s">
        <v>4096</v>
      </c>
      <c r="I45" s="290" t="str">
        <f t="shared" si="12"/>
        <v/>
      </c>
      <c r="J45" s="290" t="str">
        <f t="shared" si="12"/>
        <v/>
      </c>
      <c r="K45" s="290" t="str">
        <f t="shared" si="12"/>
        <v/>
      </c>
      <c r="L45" s="290" t="str">
        <f t="shared" si="12"/>
        <v/>
      </c>
      <c r="M45" s="290" t="str">
        <f t="shared" si="13"/>
        <v/>
      </c>
      <c r="N45" s="290" t="str">
        <f t="shared" si="13"/>
        <v/>
      </c>
      <c r="O45" s="290" t="str">
        <f t="shared" si="13"/>
        <v/>
      </c>
      <c r="P45" s="311" t="str">
        <f t="shared" si="9"/>
        <v>－</v>
      </c>
      <c r="R45" s="74">
        <f t="shared" si="15"/>
        <v>6</v>
      </c>
    </row>
    <row r="46" spans="1:18">
      <c r="A46" s="284">
        <v>45</v>
      </c>
      <c r="B46" s="545"/>
      <c r="C46" s="547" t="s">
        <v>4030</v>
      </c>
      <c r="D46" s="288" t="s">
        <v>35</v>
      </c>
      <c r="E46" s="368">
        <v>2</v>
      </c>
      <c r="F46" s="292" t="str" cm="1">
        <f t="array" ref="F46">INDEX('B 仕様入力シート　１２３４地域'!$AS$13:$AX$19,R46,非表示_出力帳票へのリンク!E46)</f>
        <v/>
      </c>
      <c r="G46" s="292" t="str" cm="1">
        <f t="array" ref="G46">INDEX('B 仕様入力シート　５６７地域'!$AS$13:$AX$19,R46,非表示_出力帳票へのリンク!E46)</f>
        <v/>
      </c>
      <c r="H46" s="297" t="s">
        <v>4096</v>
      </c>
      <c r="I46" s="292" t="str">
        <f t="shared" si="12"/>
        <v/>
      </c>
      <c r="J46" s="292" t="str">
        <f t="shared" si="12"/>
        <v/>
      </c>
      <c r="K46" s="292" t="str">
        <f t="shared" si="12"/>
        <v/>
      </c>
      <c r="L46" s="292" t="str">
        <f t="shared" si="12"/>
        <v/>
      </c>
      <c r="M46" s="292" t="str">
        <f t="shared" si="13"/>
        <v/>
      </c>
      <c r="N46" s="292" t="str">
        <f t="shared" si="13"/>
        <v/>
      </c>
      <c r="O46" s="292" t="str">
        <f t="shared" si="13"/>
        <v/>
      </c>
      <c r="P46" s="310" t="str">
        <f t="shared" si="9"/>
        <v>－</v>
      </c>
      <c r="R46" s="74">
        <v>7</v>
      </c>
    </row>
    <row r="47" spans="1:18" ht="15.75" customHeight="1">
      <c r="A47" s="284">
        <v>46</v>
      </c>
      <c r="B47" s="545"/>
      <c r="C47" s="548"/>
      <c r="D47" s="285" t="s">
        <v>4025</v>
      </c>
      <c r="E47" s="369">
        <v>3</v>
      </c>
      <c r="F47" s="290" t="str" cm="1">
        <f t="array" ref="F47">INDEX('B 仕様入力シート　１２３４地域'!$AS$13:$AX$19,R47,非表示_出力帳票へのリンク!E47)</f>
        <v/>
      </c>
      <c r="G47" s="290" t="str" cm="1">
        <f t="array" ref="G47">INDEX('B 仕様入力シート　５６７地域'!$AS$13:$AX$19,R47,非表示_出力帳票へのリンク!E47)</f>
        <v/>
      </c>
      <c r="H47" s="298" t="s">
        <v>4096</v>
      </c>
      <c r="I47" s="290" t="str">
        <f t="shared" si="12"/>
        <v/>
      </c>
      <c r="J47" s="290" t="str">
        <f t="shared" si="12"/>
        <v/>
      </c>
      <c r="K47" s="290" t="str">
        <f t="shared" si="12"/>
        <v/>
      </c>
      <c r="L47" s="290" t="str">
        <f t="shared" si="12"/>
        <v/>
      </c>
      <c r="M47" s="290" t="str">
        <f t="shared" si="13"/>
        <v/>
      </c>
      <c r="N47" s="290" t="str">
        <f t="shared" si="13"/>
        <v/>
      </c>
      <c r="O47" s="290" t="str">
        <f t="shared" si="13"/>
        <v/>
      </c>
      <c r="P47" s="311" t="str">
        <f t="shared" si="9"/>
        <v>－</v>
      </c>
      <c r="R47" s="74">
        <f>R46</f>
        <v>7</v>
      </c>
    </row>
    <row r="48" spans="1:18">
      <c r="A48" s="284">
        <v>47</v>
      </c>
      <c r="B48" s="545"/>
      <c r="C48" s="548"/>
      <c r="D48" s="285" t="s">
        <v>4026</v>
      </c>
      <c r="E48" s="369">
        <v>4</v>
      </c>
      <c r="F48" s="290" t="str" cm="1">
        <f t="array" ref="F48">INDEX('B 仕様入力シート　１２３４地域'!$AS$13:$AX$19,R48,非表示_出力帳票へのリンク!E48)</f>
        <v/>
      </c>
      <c r="G48" s="290" t="str" cm="1">
        <f t="array" ref="G48">INDEX('B 仕様入力シート　５６７地域'!$AS$13:$AX$19,R48,非表示_出力帳票へのリンク!E48)</f>
        <v/>
      </c>
      <c r="H48" s="298" t="s">
        <v>4096</v>
      </c>
      <c r="I48" s="290" t="str">
        <f t="shared" si="12"/>
        <v/>
      </c>
      <c r="J48" s="290" t="str">
        <f t="shared" si="12"/>
        <v/>
      </c>
      <c r="K48" s="290" t="str">
        <f t="shared" si="12"/>
        <v/>
      </c>
      <c r="L48" s="290" t="str">
        <f t="shared" si="12"/>
        <v/>
      </c>
      <c r="M48" s="290" t="str">
        <f t="shared" si="13"/>
        <v/>
      </c>
      <c r="N48" s="290" t="str">
        <f t="shared" si="13"/>
        <v/>
      </c>
      <c r="O48" s="290" t="str">
        <f t="shared" si="13"/>
        <v/>
      </c>
      <c r="P48" s="311" t="str">
        <f t="shared" si="9"/>
        <v>－</v>
      </c>
      <c r="R48" s="74">
        <f t="shared" si="15"/>
        <v>7</v>
      </c>
    </row>
    <row r="49" spans="1:18">
      <c r="A49" s="284">
        <v>48</v>
      </c>
      <c r="B49" s="545"/>
      <c r="C49" s="548"/>
      <c r="D49" s="285" t="s">
        <v>4027</v>
      </c>
      <c r="E49" s="369">
        <v>5</v>
      </c>
      <c r="F49" s="290" t="str" cm="1">
        <f t="array" ref="F49">INDEX('B 仕様入力シート　１２３４地域'!$AS$13:$AX$19,R49,非表示_出力帳票へのリンク!E49)</f>
        <v/>
      </c>
      <c r="G49" s="290" t="str" cm="1">
        <f t="array" ref="G49">INDEX('B 仕様入力シート　５６７地域'!$AS$13:$AX$19,R49,非表示_出力帳票へのリンク!E49)</f>
        <v/>
      </c>
      <c r="H49" s="298" t="s">
        <v>4096</v>
      </c>
      <c r="I49" s="290" t="str">
        <f t="shared" si="12"/>
        <v/>
      </c>
      <c r="J49" s="290" t="str">
        <f t="shared" si="12"/>
        <v/>
      </c>
      <c r="K49" s="290" t="str">
        <f t="shared" si="12"/>
        <v/>
      </c>
      <c r="L49" s="290" t="str">
        <f t="shared" si="12"/>
        <v/>
      </c>
      <c r="M49" s="290" t="str">
        <f t="shared" si="13"/>
        <v/>
      </c>
      <c r="N49" s="290" t="str">
        <f t="shared" si="13"/>
        <v/>
      </c>
      <c r="O49" s="290" t="str">
        <f t="shared" si="13"/>
        <v/>
      </c>
      <c r="P49" s="311" t="str">
        <f t="shared" si="9"/>
        <v>－</v>
      </c>
      <c r="R49" s="74">
        <f t="shared" si="15"/>
        <v>7</v>
      </c>
    </row>
    <row r="50" spans="1:18">
      <c r="A50" s="284">
        <v>49</v>
      </c>
      <c r="B50" s="546"/>
      <c r="C50" s="549"/>
      <c r="D50" s="289" t="s">
        <v>232</v>
      </c>
      <c r="E50" s="370">
        <v>6</v>
      </c>
      <c r="F50" s="294" t="str" cm="1">
        <f t="array" ref="F50">INDEX('B 仕様入力シート　１２３４地域'!$AS$13:$AX$19,R50,非表示_出力帳票へのリンク!E50)</f>
        <v/>
      </c>
      <c r="G50" s="294" t="str" cm="1">
        <f t="array" ref="G50">INDEX('B 仕様入力シート　５６７地域'!$AS$13:$AX$19,R50,非表示_出力帳票へのリンク!E50)</f>
        <v/>
      </c>
      <c r="H50" s="299" t="s">
        <v>4096</v>
      </c>
      <c r="I50" s="294" t="str">
        <f t="shared" si="12"/>
        <v/>
      </c>
      <c r="J50" s="294" t="str">
        <f t="shared" si="12"/>
        <v/>
      </c>
      <c r="K50" s="294" t="str">
        <f t="shared" si="12"/>
        <v/>
      </c>
      <c r="L50" s="294" t="str">
        <f t="shared" si="12"/>
        <v/>
      </c>
      <c r="M50" s="294" t="str">
        <f t="shared" si="13"/>
        <v/>
      </c>
      <c r="N50" s="294" t="str">
        <f t="shared" si="13"/>
        <v/>
      </c>
      <c r="O50" s="294" t="str">
        <f t="shared" si="13"/>
        <v/>
      </c>
      <c r="P50" s="312" t="str">
        <f t="shared" si="9"/>
        <v>－</v>
      </c>
      <c r="R50" s="74">
        <f t="shared" si="15"/>
        <v>7</v>
      </c>
    </row>
    <row r="51" spans="1:18">
      <c r="A51" s="284">
        <v>50</v>
      </c>
      <c r="B51" s="544" t="s">
        <v>502</v>
      </c>
      <c r="C51" s="545" t="s">
        <v>4033</v>
      </c>
      <c r="D51" s="285" t="s">
        <v>233</v>
      </c>
      <c r="E51" s="373">
        <v>1</v>
      </c>
      <c r="F51" s="290" t="str" cm="1">
        <f t="array" ref="F51">INDEX('B 仕様入力シート　１２３４地域'!$AS$29:$BA$29,R51,非表示_出力帳票へのリンク!E51)</f>
        <v>－</v>
      </c>
      <c r="G51" s="298" t="s">
        <v>4097</v>
      </c>
      <c r="H51" s="298" t="s">
        <v>4097</v>
      </c>
      <c r="I51" s="290" t="str">
        <f t="shared" si="12"/>
        <v>－</v>
      </c>
      <c r="J51" s="290" t="str">
        <f t="shared" si="12"/>
        <v>－</v>
      </c>
      <c r="K51" s="290" t="str">
        <f t="shared" si="12"/>
        <v>－</v>
      </c>
      <c r="L51" s="290" t="str">
        <f t="shared" si="12"/>
        <v>－</v>
      </c>
      <c r="M51" s="308" t="str">
        <f>IF($G51="","",$G51)</f>
        <v>－</v>
      </c>
      <c r="N51" s="308" t="str">
        <f t="shared" ref="N51:O57" si="16">IF($G51="","",$G51)</f>
        <v>－</v>
      </c>
      <c r="O51" s="308" t="str">
        <f t="shared" si="16"/>
        <v>－</v>
      </c>
      <c r="P51" s="311" t="str">
        <f>IF($H51="","",$H51)</f>
        <v>－</v>
      </c>
      <c r="R51" s="74">
        <v>1</v>
      </c>
    </row>
    <row r="52" spans="1:18">
      <c r="A52" s="284">
        <v>51</v>
      </c>
      <c r="B52" s="545"/>
      <c r="C52" s="545"/>
      <c r="D52" s="285" t="s">
        <v>4057</v>
      </c>
      <c r="E52" s="373">
        <v>2</v>
      </c>
      <c r="F52" s="290" t="str" cm="1">
        <f t="array" ref="F52">INDEX('B 仕様入力シート　１２３４地域'!$AS$29:$BA$29,R52,非表示_出力帳票へのリンク!E52)</f>
        <v>－</v>
      </c>
      <c r="G52" s="298" t="s">
        <v>4097</v>
      </c>
      <c r="H52" s="298" t="s">
        <v>4097</v>
      </c>
      <c r="I52" s="290" t="str">
        <f t="shared" ref="I52:L57" si="17">$F52</f>
        <v>－</v>
      </c>
      <c r="J52" s="290" t="str">
        <f t="shared" si="17"/>
        <v>－</v>
      </c>
      <c r="K52" s="290" t="str">
        <f t="shared" si="17"/>
        <v>－</v>
      </c>
      <c r="L52" s="290" t="str">
        <f t="shared" si="17"/>
        <v>－</v>
      </c>
      <c r="M52" s="308" t="str">
        <f t="shared" ref="M52:M57" si="18">IF($G52="","",$G52)</f>
        <v>－</v>
      </c>
      <c r="N52" s="308" t="str">
        <f t="shared" si="16"/>
        <v>－</v>
      </c>
      <c r="O52" s="308" t="str">
        <f t="shared" si="16"/>
        <v>－</v>
      </c>
      <c r="P52" s="311" t="str">
        <f t="shared" si="9"/>
        <v>－</v>
      </c>
      <c r="R52" s="74">
        <v>1</v>
      </c>
    </row>
    <row r="53" spans="1:18">
      <c r="A53" s="284">
        <v>52</v>
      </c>
      <c r="B53" s="545"/>
      <c r="C53" s="545"/>
      <c r="D53" s="285" t="s">
        <v>4032</v>
      </c>
      <c r="E53" s="373">
        <v>3</v>
      </c>
      <c r="F53" s="290" t="str" cm="1">
        <f t="array" ref="F53">INDEX('B 仕様入力シート　１２３４地域'!$AS$29:$BA$29,R53,非表示_出力帳票へのリンク!E53)</f>
        <v>－</v>
      </c>
      <c r="G53" s="298" t="s">
        <v>4097</v>
      </c>
      <c r="H53" s="298" t="s">
        <v>4097</v>
      </c>
      <c r="I53" s="290" t="str">
        <f t="shared" si="17"/>
        <v>－</v>
      </c>
      <c r="J53" s="290" t="str">
        <f t="shared" si="17"/>
        <v>－</v>
      </c>
      <c r="K53" s="290" t="str">
        <f t="shared" si="17"/>
        <v>－</v>
      </c>
      <c r="L53" s="290" t="str">
        <f t="shared" si="17"/>
        <v>－</v>
      </c>
      <c r="M53" s="308" t="str">
        <f t="shared" si="18"/>
        <v>－</v>
      </c>
      <c r="N53" s="308" t="str">
        <f t="shared" si="16"/>
        <v>－</v>
      </c>
      <c r="O53" s="308" t="str">
        <f t="shared" si="16"/>
        <v>－</v>
      </c>
      <c r="P53" s="311" t="str">
        <f t="shared" si="9"/>
        <v>－</v>
      </c>
      <c r="R53" s="74">
        <v>1</v>
      </c>
    </row>
    <row r="54" spans="1:18">
      <c r="A54" s="284">
        <v>53</v>
      </c>
      <c r="B54" s="545"/>
      <c r="C54" s="545"/>
      <c r="D54" s="285" t="s">
        <v>3961</v>
      </c>
      <c r="E54" s="373">
        <v>4</v>
      </c>
      <c r="F54" s="298"/>
      <c r="G54" s="298" t="s">
        <v>4097</v>
      </c>
      <c r="H54" s="298" t="s">
        <v>4097</v>
      </c>
      <c r="I54" s="290">
        <f t="shared" si="17"/>
        <v>0</v>
      </c>
      <c r="J54" s="290">
        <f t="shared" si="17"/>
        <v>0</v>
      </c>
      <c r="K54" s="290">
        <f t="shared" si="17"/>
        <v>0</v>
      </c>
      <c r="L54" s="290">
        <f t="shared" si="17"/>
        <v>0</v>
      </c>
      <c r="M54" s="308" t="str">
        <f t="shared" si="18"/>
        <v>－</v>
      </c>
      <c r="N54" s="308" t="str">
        <f t="shared" si="16"/>
        <v>－</v>
      </c>
      <c r="O54" s="308" t="str">
        <f t="shared" si="16"/>
        <v>－</v>
      </c>
      <c r="P54" s="311" t="str">
        <f t="shared" si="9"/>
        <v>－</v>
      </c>
      <c r="R54" s="74">
        <v>1</v>
      </c>
    </row>
    <row r="55" spans="1:18">
      <c r="A55" s="284">
        <v>54</v>
      </c>
      <c r="B55" s="545"/>
      <c r="C55" s="545"/>
      <c r="D55" s="285" t="s">
        <v>4034</v>
      </c>
      <c r="E55" s="373">
        <v>5</v>
      </c>
      <c r="F55" s="290" t="str" cm="1">
        <f t="array" ref="F55">INDEX('B 仕様入力シート　１２３４地域'!$AS$29:$BA$29,R55,非表示_出力帳票へのリンク!E55)</f>
        <v>－</v>
      </c>
      <c r="G55" s="298" t="s">
        <v>4097</v>
      </c>
      <c r="H55" s="298" t="s">
        <v>4097</v>
      </c>
      <c r="I55" s="290" t="str">
        <f t="shared" si="17"/>
        <v>－</v>
      </c>
      <c r="J55" s="290" t="str">
        <f t="shared" si="17"/>
        <v>－</v>
      </c>
      <c r="K55" s="290" t="str">
        <f t="shared" si="17"/>
        <v>－</v>
      </c>
      <c r="L55" s="290" t="str">
        <f t="shared" si="17"/>
        <v>－</v>
      </c>
      <c r="M55" s="308" t="str">
        <f t="shared" si="18"/>
        <v>－</v>
      </c>
      <c r="N55" s="308" t="str">
        <f t="shared" si="16"/>
        <v>－</v>
      </c>
      <c r="O55" s="308" t="str">
        <f t="shared" si="16"/>
        <v>－</v>
      </c>
      <c r="P55" s="311" t="str">
        <f t="shared" si="9"/>
        <v>－</v>
      </c>
      <c r="R55" s="74">
        <v>1</v>
      </c>
    </row>
    <row r="56" spans="1:18">
      <c r="A56" s="284">
        <v>55</v>
      </c>
      <c r="B56" s="545"/>
      <c r="C56" s="545"/>
      <c r="D56" s="285" t="s">
        <v>4035</v>
      </c>
      <c r="E56" s="373">
        <v>6</v>
      </c>
      <c r="F56" s="290" t="str" cm="1">
        <f t="array" ref="F56">INDEX('B 仕様入力シート　１２３４地域'!$AS$29:$BA$29,R56,非表示_出力帳票へのリンク!E56)</f>
        <v>－</v>
      </c>
      <c r="G56" s="298" t="s">
        <v>4097</v>
      </c>
      <c r="H56" s="298" t="s">
        <v>4097</v>
      </c>
      <c r="I56" s="290" t="str">
        <f t="shared" si="17"/>
        <v>－</v>
      </c>
      <c r="J56" s="290" t="str">
        <f t="shared" si="17"/>
        <v>－</v>
      </c>
      <c r="K56" s="290" t="str">
        <f t="shared" si="17"/>
        <v>－</v>
      </c>
      <c r="L56" s="290" t="str">
        <f t="shared" si="17"/>
        <v>－</v>
      </c>
      <c r="M56" s="308" t="str">
        <f t="shared" si="18"/>
        <v>－</v>
      </c>
      <c r="N56" s="308" t="str">
        <f t="shared" si="16"/>
        <v>－</v>
      </c>
      <c r="O56" s="308" t="str">
        <f t="shared" si="16"/>
        <v>－</v>
      </c>
      <c r="P56" s="311" t="str">
        <f t="shared" si="9"/>
        <v>－</v>
      </c>
      <c r="R56" s="74">
        <v>1</v>
      </c>
    </row>
    <row r="57" spans="1:18">
      <c r="A57" s="284">
        <v>56</v>
      </c>
      <c r="B57" s="545"/>
      <c r="C57" s="545"/>
      <c r="D57" s="285" t="s">
        <v>232</v>
      </c>
      <c r="E57" s="377">
        <v>9</v>
      </c>
      <c r="F57" s="290" t="str" cm="1">
        <f t="array" ref="F57">INDEX('B 仕様入力シート　１２３４地域'!$AS$29:$BA$29,R57,非表示_出力帳票へのリンク!E57)</f>
        <v>－</v>
      </c>
      <c r="G57" s="298" t="s">
        <v>4097</v>
      </c>
      <c r="H57" s="298" t="s">
        <v>4097</v>
      </c>
      <c r="I57" s="290" t="str">
        <f t="shared" si="17"/>
        <v>－</v>
      </c>
      <c r="J57" s="290" t="str">
        <f t="shared" si="17"/>
        <v>－</v>
      </c>
      <c r="K57" s="290" t="str">
        <f t="shared" si="17"/>
        <v>－</v>
      </c>
      <c r="L57" s="290" t="str">
        <f t="shared" si="17"/>
        <v>－</v>
      </c>
      <c r="M57" s="308" t="str">
        <f t="shared" si="18"/>
        <v>－</v>
      </c>
      <c r="N57" s="308" t="str">
        <f t="shared" si="16"/>
        <v>－</v>
      </c>
      <c r="O57" s="308" t="str">
        <f t="shared" si="16"/>
        <v>－</v>
      </c>
      <c r="P57" s="311" t="str">
        <f t="shared" si="9"/>
        <v>－</v>
      </c>
      <c r="R57" s="74">
        <v>1</v>
      </c>
    </row>
    <row r="58" spans="1:18">
      <c r="A58" s="284">
        <v>57</v>
      </c>
      <c r="B58" s="545"/>
      <c r="C58" s="547" t="s">
        <v>4058</v>
      </c>
      <c r="D58" s="288" t="s">
        <v>233</v>
      </c>
      <c r="E58" s="373">
        <v>1</v>
      </c>
      <c r="F58" s="297" t="s">
        <v>4096</v>
      </c>
      <c r="G58" s="292" t="str" cm="1">
        <f t="array" ref="G58">INDEX('B 仕様入力シート　５６７地域'!$AS$29:$BA$31,R58,非表示_出力帳票へのリンク!E58)</f>
        <v>－</v>
      </c>
      <c r="H58" s="292" t="s">
        <v>4096</v>
      </c>
      <c r="I58" s="307" t="str">
        <f>IF($F58="","",$F58)</f>
        <v>－</v>
      </c>
      <c r="J58" s="307" t="str">
        <f t="shared" ref="J58:L82" si="19">IF($F58="","",$F58)</f>
        <v>－</v>
      </c>
      <c r="K58" s="307" t="str">
        <f t="shared" si="19"/>
        <v>－</v>
      </c>
      <c r="L58" s="307" t="str">
        <f t="shared" si="19"/>
        <v>－</v>
      </c>
      <c r="M58" s="292" t="str">
        <f t="shared" ref="M58:O71" si="20">$G58</f>
        <v>－</v>
      </c>
      <c r="N58" s="292" t="str">
        <f t="shared" si="20"/>
        <v>－</v>
      </c>
      <c r="O58" s="292" t="str">
        <f t="shared" si="20"/>
        <v>－</v>
      </c>
      <c r="P58" s="293" t="str">
        <f t="shared" si="6"/>
        <v>－</v>
      </c>
      <c r="R58" s="74">
        <v>1</v>
      </c>
    </row>
    <row r="59" spans="1:18">
      <c r="A59" s="284">
        <v>58</v>
      </c>
      <c r="B59" s="545"/>
      <c r="C59" s="545"/>
      <c r="D59" s="285" t="s">
        <v>4057</v>
      </c>
      <c r="E59" s="373">
        <v>2</v>
      </c>
      <c r="F59" s="298" t="s">
        <v>4096</v>
      </c>
      <c r="G59" s="290" t="str" cm="1">
        <f t="array" ref="G59">INDEX('B 仕様入力シート　５６７地域'!$AS$29:$BA$31,R59,非表示_出力帳票へのリンク!E59)</f>
        <v>－</v>
      </c>
      <c r="H59" s="290" t="s">
        <v>4096</v>
      </c>
      <c r="I59" s="308" t="str">
        <f t="shared" ref="I59:I82" si="21">IF($F59="","",$F59)</f>
        <v>－</v>
      </c>
      <c r="J59" s="308" t="str">
        <f t="shared" si="19"/>
        <v>－</v>
      </c>
      <c r="K59" s="308" t="str">
        <f t="shared" si="19"/>
        <v>－</v>
      </c>
      <c r="L59" s="308" t="str">
        <f t="shared" si="19"/>
        <v>－</v>
      </c>
      <c r="M59" s="290" t="str">
        <f t="shared" si="20"/>
        <v>－</v>
      </c>
      <c r="N59" s="290" t="str">
        <f t="shared" si="20"/>
        <v>－</v>
      </c>
      <c r="O59" s="290" t="str">
        <f t="shared" si="20"/>
        <v>－</v>
      </c>
      <c r="P59" s="291" t="str">
        <f t="shared" si="6"/>
        <v>－</v>
      </c>
      <c r="R59" s="74">
        <v>1</v>
      </c>
    </row>
    <row r="60" spans="1:18">
      <c r="A60" s="284">
        <v>59</v>
      </c>
      <c r="B60" s="545"/>
      <c r="C60" s="545"/>
      <c r="D60" s="285" t="s">
        <v>4032</v>
      </c>
      <c r="E60" s="373">
        <v>3</v>
      </c>
      <c r="F60" s="298" t="s">
        <v>4096</v>
      </c>
      <c r="G60" s="290" t="str" cm="1">
        <f t="array" ref="G60">INDEX('B 仕様入力シート　５６７地域'!$AS$29:$BA$31,R60,非表示_出力帳票へのリンク!E60)</f>
        <v>－</v>
      </c>
      <c r="H60" s="290" t="s">
        <v>4096</v>
      </c>
      <c r="I60" s="308" t="str">
        <f t="shared" si="21"/>
        <v>－</v>
      </c>
      <c r="J60" s="308" t="str">
        <f t="shared" si="19"/>
        <v>－</v>
      </c>
      <c r="K60" s="308" t="str">
        <f t="shared" si="19"/>
        <v>－</v>
      </c>
      <c r="L60" s="308" t="str">
        <f t="shared" si="19"/>
        <v>－</v>
      </c>
      <c r="M60" s="290" t="str">
        <f t="shared" si="20"/>
        <v>－</v>
      </c>
      <c r="N60" s="290" t="str">
        <f t="shared" si="20"/>
        <v>－</v>
      </c>
      <c r="O60" s="290" t="str">
        <f t="shared" si="20"/>
        <v>－</v>
      </c>
      <c r="P60" s="291" t="str">
        <f t="shared" si="6"/>
        <v>－</v>
      </c>
      <c r="R60" s="74">
        <v>1</v>
      </c>
    </row>
    <row r="61" spans="1:18">
      <c r="A61" s="284">
        <v>60</v>
      </c>
      <c r="B61" s="545"/>
      <c r="C61" s="545"/>
      <c r="D61" s="285" t="s">
        <v>3961</v>
      </c>
      <c r="E61" s="373">
        <v>4</v>
      </c>
      <c r="F61" s="298" t="s">
        <v>4096</v>
      </c>
      <c r="G61" s="298"/>
      <c r="H61" s="298" t="s">
        <v>4096</v>
      </c>
      <c r="I61" s="308" t="str">
        <f>IF($F61="","",$F61)</f>
        <v>－</v>
      </c>
      <c r="J61" s="308" t="str">
        <f t="shared" si="19"/>
        <v>－</v>
      </c>
      <c r="K61" s="308" t="str">
        <f t="shared" si="19"/>
        <v>－</v>
      </c>
      <c r="L61" s="308" t="str">
        <f t="shared" si="19"/>
        <v>－</v>
      </c>
      <c r="M61" s="298"/>
      <c r="N61" s="298"/>
      <c r="O61" s="298"/>
      <c r="P61" s="363"/>
      <c r="R61" s="74">
        <v>1</v>
      </c>
    </row>
    <row r="62" spans="1:18">
      <c r="A62" s="284">
        <v>61</v>
      </c>
      <c r="B62" s="545"/>
      <c r="C62" s="545"/>
      <c r="D62" s="285" t="s">
        <v>4034</v>
      </c>
      <c r="E62" s="373">
        <v>5</v>
      </c>
      <c r="F62" s="298" t="s">
        <v>4096</v>
      </c>
      <c r="G62" s="290" t="str" cm="1">
        <f t="array" ref="G62">INDEX('B 仕様入力シート　５６７地域'!$AS$29:$BA$31,R62,非表示_出力帳票へのリンク!E62)</f>
        <v>－</v>
      </c>
      <c r="H62" s="290" t="s">
        <v>4096</v>
      </c>
      <c r="I62" s="308" t="str">
        <f t="shared" si="21"/>
        <v>－</v>
      </c>
      <c r="J62" s="308" t="str">
        <f t="shared" si="19"/>
        <v>－</v>
      </c>
      <c r="K62" s="308" t="str">
        <f t="shared" si="19"/>
        <v>－</v>
      </c>
      <c r="L62" s="308" t="str">
        <f t="shared" si="19"/>
        <v>－</v>
      </c>
      <c r="M62" s="290" t="str">
        <f t="shared" si="20"/>
        <v>－</v>
      </c>
      <c r="N62" s="290" t="str">
        <f t="shared" si="20"/>
        <v>－</v>
      </c>
      <c r="O62" s="290" t="str">
        <f t="shared" si="20"/>
        <v>－</v>
      </c>
      <c r="P62" s="291" t="str">
        <f t="shared" si="6"/>
        <v>－</v>
      </c>
      <c r="R62" s="74">
        <v>1</v>
      </c>
    </row>
    <row r="63" spans="1:18">
      <c r="A63" s="284">
        <v>62</v>
      </c>
      <c r="B63" s="545"/>
      <c r="C63" s="545"/>
      <c r="D63" s="285" t="s">
        <v>4035</v>
      </c>
      <c r="E63" s="373">
        <v>6</v>
      </c>
      <c r="F63" s="298" t="s">
        <v>4096</v>
      </c>
      <c r="G63" s="290" t="str" cm="1">
        <f t="array" ref="G63">INDEX('B 仕様入力シート　５６７地域'!$AS$29:$BA$31,R63,非表示_出力帳票へのリンク!E63)</f>
        <v>－</v>
      </c>
      <c r="H63" s="290" t="s">
        <v>4096</v>
      </c>
      <c r="I63" s="308" t="str">
        <f t="shared" si="21"/>
        <v>－</v>
      </c>
      <c r="J63" s="308" t="str">
        <f t="shared" si="19"/>
        <v>－</v>
      </c>
      <c r="K63" s="308" t="str">
        <f t="shared" si="19"/>
        <v>－</v>
      </c>
      <c r="L63" s="308" t="str">
        <f t="shared" si="19"/>
        <v>－</v>
      </c>
      <c r="M63" s="290" t="str">
        <f t="shared" si="20"/>
        <v>－</v>
      </c>
      <c r="N63" s="290" t="str">
        <f t="shared" si="20"/>
        <v>－</v>
      </c>
      <c r="O63" s="290" t="str">
        <f t="shared" si="20"/>
        <v>－</v>
      </c>
      <c r="P63" s="291" t="str">
        <f t="shared" si="6"/>
        <v>－</v>
      </c>
      <c r="R63" s="74">
        <v>1</v>
      </c>
    </row>
    <row r="64" spans="1:18">
      <c r="A64" s="284">
        <v>63</v>
      </c>
      <c r="B64" s="545"/>
      <c r="C64" s="546"/>
      <c r="D64" s="289" t="s">
        <v>232</v>
      </c>
      <c r="E64" s="377">
        <v>9</v>
      </c>
      <c r="F64" s="299" t="s">
        <v>4096</v>
      </c>
      <c r="G64" s="294" t="str" cm="1">
        <f t="array" ref="G64">INDEX('B 仕様入力シート　５６７地域'!$AS$29:$BA$31,R64,非表示_出力帳票へのリンク!E64)</f>
        <v>－</v>
      </c>
      <c r="H64" s="378" t="str">
        <f>'B 仕様入力シート　８地域'!BA22</f>
        <v/>
      </c>
      <c r="I64" s="309" t="str">
        <f t="shared" si="21"/>
        <v>－</v>
      </c>
      <c r="J64" s="309" t="str">
        <f t="shared" si="19"/>
        <v>－</v>
      </c>
      <c r="K64" s="309" t="str">
        <f t="shared" si="19"/>
        <v>－</v>
      </c>
      <c r="L64" s="309" t="str">
        <f t="shared" si="19"/>
        <v>－</v>
      </c>
      <c r="M64" s="294" t="str">
        <f t="shared" si="20"/>
        <v>－</v>
      </c>
      <c r="N64" s="294" t="str">
        <f t="shared" si="20"/>
        <v>－</v>
      </c>
      <c r="O64" s="294" t="str">
        <f t="shared" si="20"/>
        <v>－</v>
      </c>
      <c r="P64" s="295" t="str">
        <f t="shared" si="6"/>
        <v/>
      </c>
      <c r="R64" s="74">
        <v>1</v>
      </c>
    </row>
    <row r="65" spans="1:19" ht="15.75" customHeight="1">
      <c r="A65" s="284">
        <v>64</v>
      </c>
      <c r="B65" s="545"/>
      <c r="C65" s="548" t="s">
        <v>4059</v>
      </c>
      <c r="D65" s="285" t="s">
        <v>233</v>
      </c>
      <c r="E65" s="373">
        <v>1</v>
      </c>
      <c r="F65" s="298" t="s">
        <v>4096</v>
      </c>
      <c r="G65" s="290" t="str" cm="1">
        <f t="array" ref="G65">INDEX('B 仕様入力シート　５６７地域'!$AS$29:$BA$31,R65,非表示_出力帳票へのリンク!E65)</f>
        <v>－</v>
      </c>
      <c r="H65" s="290" t="s">
        <v>4096</v>
      </c>
      <c r="I65" s="308" t="str">
        <f t="shared" si="21"/>
        <v>－</v>
      </c>
      <c r="J65" s="308" t="str">
        <f t="shared" si="19"/>
        <v>－</v>
      </c>
      <c r="K65" s="308" t="str">
        <f t="shared" si="19"/>
        <v>－</v>
      </c>
      <c r="L65" s="308" t="str">
        <f t="shared" si="19"/>
        <v>－</v>
      </c>
      <c r="M65" s="290" t="str">
        <f t="shared" si="20"/>
        <v>－</v>
      </c>
      <c r="N65" s="290" t="str">
        <f t="shared" si="20"/>
        <v>－</v>
      </c>
      <c r="O65" s="290" t="str">
        <f t="shared" si="20"/>
        <v>－</v>
      </c>
      <c r="P65" s="291" t="str">
        <f t="shared" si="6"/>
        <v>－</v>
      </c>
      <c r="R65" s="74">
        <v>2</v>
      </c>
    </row>
    <row r="66" spans="1:19">
      <c r="A66" s="284">
        <v>65</v>
      </c>
      <c r="B66" s="545"/>
      <c r="C66" s="548"/>
      <c r="D66" s="285" t="s">
        <v>4057</v>
      </c>
      <c r="E66" s="373">
        <v>2</v>
      </c>
      <c r="F66" s="298" t="s">
        <v>4096</v>
      </c>
      <c r="G66" s="290" t="str" cm="1">
        <f t="array" ref="G66">INDEX('B 仕様入力シート　５６７地域'!$AS$29:$BA$31,R66,非表示_出力帳票へのリンク!E66)</f>
        <v>－</v>
      </c>
      <c r="H66" s="290" t="s">
        <v>4096</v>
      </c>
      <c r="I66" s="308" t="str">
        <f t="shared" si="21"/>
        <v>－</v>
      </c>
      <c r="J66" s="308" t="str">
        <f t="shared" si="19"/>
        <v>－</v>
      </c>
      <c r="K66" s="308" t="str">
        <f t="shared" si="19"/>
        <v>－</v>
      </c>
      <c r="L66" s="308" t="str">
        <f t="shared" si="19"/>
        <v>－</v>
      </c>
      <c r="M66" s="290" t="str">
        <f t="shared" si="20"/>
        <v>－</v>
      </c>
      <c r="N66" s="290" t="str">
        <f t="shared" si="20"/>
        <v>－</v>
      </c>
      <c r="O66" s="290" t="str">
        <f t="shared" si="20"/>
        <v>－</v>
      </c>
      <c r="P66" s="291" t="str">
        <f t="shared" si="6"/>
        <v>－</v>
      </c>
      <c r="R66" s="74">
        <v>2</v>
      </c>
    </row>
    <row r="67" spans="1:19">
      <c r="A67" s="284">
        <v>66</v>
      </c>
      <c r="B67" s="545"/>
      <c r="C67" s="548"/>
      <c r="D67" s="285" t="s">
        <v>4032</v>
      </c>
      <c r="E67" s="373">
        <v>3</v>
      </c>
      <c r="F67" s="298" t="s">
        <v>4096</v>
      </c>
      <c r="G67" s="290" t="str" cm="1">
        <f t="array" ref="G67">INDEX('B 仕様入力シート　５６７地域'!$AS$29:$BA$31,R67,非表示_出力帳票へのリンク!E67)</f>
        <v>－</v>
      </c>
      <c r="H67" s="290" t="s">
        <v>4096</v>
      </c>
      <c r="I67" s="308" t="str">
        <f t="shared" si="21"/>
        <v>－</v>
      </c>
      <c r="J67" s="308" t="str">
        <f t="shared" si="19"/>
        <v>－</v>
      </c>
      <c r="K67" s="308" t="str">
        <f t="shared" si="19"/>
        <v>－</v>
      </c>
      <c r="L67" s="308" t="str">
        <f t="shared" si="19"/>
        <v>－</v>
      </c>
      <c r="M67" s="290" t="str">
        <f t="shared" si="20"/>
        <v>－</v>
      </c>
      <c r="N67" s="290" t="str">
        <f t="shared" si="20"/>
        <v>－</v>
      </c>
      <c r="O67" s="290" t="str">
        <f t="shared" si="20"/>
        <v>－</v>
      </c>
      <c r="P67" s="291" t="str">
        <f t="shared" si="6"/>
        <v>－</v>
      </c>
      <c r="R67" s="74">
        <v>2</v>
      </c>
    </row>
    <row r="68" spans="1:19">
      <c r="A68" s="284">
        <v>67</v>
      </c>
      <c r="B68" s="545"/>
      <c r="C68" s="548"/>
      <c r="D68" s="285" t="s">
        <v>3961</v>
      </c>
      <c r="E68" s="373">
        <v>4</v>
      </c>
      <c r="F68" s="298" t="s">
        <v>4096</v>
      </c>
      <c r="G68" s="290" t="str" cm="1">
        <f t="array" ref="G68">INDEX('B 仕様入力シート　５６７地域'!$AS$29:$BA$31,R68,非表示_出力帳票へのリンク!E68)</f>
        <v>－</v>
      </c>
      <c r="H68" s="290" t="s">
        <v>4096</v>
      </c>
      <c r="I68" s="308" t="str">
        <f t="shared" si="21"/>
        <v>－</v>
      </c>
      <c r="J68" s="308" t="str">
        <f t="shared" si="19"/>
        <v>－</v>
      </c>
      <c r="K68" s="308" t="str">
        <f t="shared" si="19"/>
        <v>－</v>
      </c>
      <c r="L68" s="308" t="str">
        <f t="shared" si="19"/>
        <v>－</v>
      </c>
      <c r="M68" s="290" t="str">
        <f t="shared" si="20"/>
        <v>－</v>
      </c>
      <c r="N68" s="290" t="str">
        <f t="shared" si="20"/>
        <v>－</v>
      </c>
      <c r="O68" s="290" t="str">
        <f t="shared" si="20"/>
        <v>－</v>
      </c>
      <c r="P68" s="291" t="str">
        <f t="shared" si="6"/>
        <v>－</v>
      </c>
      <c r="R68" s="74">
        <v>2</v>
      </c>
    </row>
    <row r="69" spans="1:19">
      <c r="A69" s="284">
        <v>68</v>
      </c>
      <c r="B69" s="545"/>
      <c r="C69" s="548"/>
      <c r="D69" s="285" t="s">
        <v>4034</v>
      </c>
      <c r="E69" s="373">
        <v>5</v>
      </c>
      <c r="F69" s="298" t="s">
        <v>4096</v>
      </c>
      <c r="G69" s="290" t="str" cm="1">
        <f t="array" ref="G69">INDEX('B 仕様入力シート　５６７地域'!$AS$29:$BA$31,R69,非表示_出力帳票へのリンク!E69)</f>
        <v>－</v>
      </c>
      <c r="H69" s="290" t="s">
        <v>4096</v>
      </c>
      <c r="I69" s="308" t="str">
        <f t="shared" si="21"/>
        <v>－</v>
      </c>
      <c r="J69" s="308" t="str">
        <f t="shared" si="19"/>
        <v>－</v>
      </c>
      <c r="K69" s="308" t="str">
        <f t="shared" si="19"/>
        <v>－</v>
      </c>
      <c r="L69" s="308" t="str">
        <f t="shared" si="19"/>
        <v>－</v>
      </c>
      <c r="M69" s="290" t="str">
        <f t="shared" si="20"/>
        <v>－</v>
      </c>
      <c r="N69" s="290" t="str">
        <f t="shared" si="20"/>
        <v>－</v>
      </c>
      <c r="O69" s="290" t="str">
        <f t="shared" si="20"/>
        <v>－</v>
      </c>
      <c r="P69" s="291" t="str">
        <f t="shared" si="6"/>
        <v>－</v>
      </c>
      <c r="R69" s="74">
        <v>2</v>
      </c>
    </row>
    <row r="70" spans="1:19">
      <c r="A70" s="284">
        <v>69</v>
      </c>
      <c r="B70" s="545"/>
      <c r="C70" s="548"/>
      <c r="D70" s="285" t="s">
        <v>4035</v>
      </c>
      <c r="E70" s="373">
        <v>6</v>
      </c>
      <c r="F70" s="298" t="s">
        <v>4096</v>
      </c>
      <c r="G70" s="290" t="str" cm="1">
        <f t="array" ref="G70">INDEX('B 仕様入力シート　５６７地域'!$AS$29:$BA$31,R70,非表示_出力帳票へのリンク!E70)</f>
        <v>－</v>
      </c>
      <c r="H70" s="290" t="s">
        <v>4096</v>
      </c>
      <c r="I70" s="308" t="str">
        <f t="shared" si="21"/>
        <v>－</v>
      </c>
      <c r="J70" s="308" t="str">
        <f t="shared" si="19"/>
        <v>－</v>
      </c>
      <c r="K70" s="308" t="str">
        <f t="shared" si="19"/>
        <v>－</v>
      </c>
      <c r="L70" s="308" t="str">
        <f t="shared" si="19"/>
        <v>－</v>
      </c>
      <c r="M70" s="290" t="str">
        <f t="shared" si="20"/>
        <v>－</v>
      </c>
      <c r="N70" s="290" t="str">
        <f t="shared" si="20"/>
        <v>－</v>
      </c>
      <c r="O70" s="290" t="str">
        <f t="shared" si="20"/>
        <v>－</v>
      </c>
      <c r="P70" s="291" t="str">
        <f t="shared" si="6"/>
        <v>－</v>
      </c>
      <c r="R70" s="74">
        <v>2</v>
      </c>
    </row>
    <row r="71" spans="1:19">
      <c r="A71" s="284">
        <v>70</v>
      </c>
      <c r="B71" s="545"/>
      <c r="C71" s="548"/>
      <c r="D71" s="285" t="s">
        <v>4036</v>
      </c>
      <c r="E71" s="373">
        <v>7</v>
      </c>
      <c r="F71" s="298" t="s">
        <v>4096</v>
      </c>
      <c r="G71" s="290" t="str" cm="1">
        <f t="array" ref="G71">INDEX('B 仕様入力シート　５６７地域'!$AS$29:$BA$31,R71,非表示_出力帳票へのリンク!E71)</f>
        <v>－</v>
      </c>
      <c r="H71" s="290" t="s">
        <v>4096</v>
      </c>
      <c r="I71" s="308" t="str">
        <f t="shared" si="21"/>
        <v>－</v>
      </c>
      <c r="J71" s="308" t="str">
        <f t="shared" si="19"/>
        <v>－</v>
      </c>
      <c r="K71" s="308" t="str">
        <f t="shared" si="19"/>
        <v>－</v>
      </c>
      <c r="L71" s="308" t="str">
        <f t="shared" si="19"/>
        <v>－</v>
      </c>
      <c r="M71" s="290" t="str">
        <f t="shared" si="20"/>
        <v>－</v>
      </c>
      <c r="N71" s="290" t="str">
        <f t="shared" si="20"/>
        <v>－</v>
      </c>
      <c r="O71" s="290" t="str">
        <f t="shared" si="20"/>
        <v>－</v>
      </c>
      <c r="P71" s="291" t="str">
        <f t="shared" si="6"/>
        <v>－</v>
      </c>
      <c r="R71" s="74">
        <v>2</v>
      </c>
    </row>
    <row r="72" spans="1:19">
      <c r="A72" s="284">
        <v>71</v>
      </c>
      <c r="B72" s="545"/>
      <c r="C72" s="548"/>
      <c r="D72" s="285" t="s">
        <v>4037</v>
      </c>
      <c r="E72" s="373">
        <v>8</v>
      </c>
      <c r="F72" s="298" t="s">
        <v>4096</v>
      </c>
      <c r="G72" s="290" t="str" cm="1">
        <f t="array" ref="G72">INDEX('B 仕様入力シート　５６７地域'!$AS$29:$BA$31,R72,非表示_出力帳票へのリンク!E72)</f>
        <v>－</v>
      </c>
      <c r="H72" s="290" t="s">
        <v>4096</v>
      </c>
      <c r="I72" s="308" t="str">
        <f t="shared" si="21"/>
        <v>－</v>
      </c>
      <c r="J72" s="308" t="str">
        <f t="shared" si="19"/>
        <v>－</v>
      </c>
      <c r="K72" s="308" t="str">
        <f t="shared" si="19"/>
        <v>－</v>
      </c>
      <c r="L72" s="308" t="str">
        <f t="shared" si="19"/>
        <v>－</v>
      </c>
      <c r="M72" s="290" t="str">
        <f t="shared" ref="M72:O100" si="22">$G72</f>
        <v>－</v>
      </c>
      <c r="N72" s="290" t="str">
        <f t="shared" si="22"/>
        <v>－</v>
      </c>
      <c r="O72" s="290" t="str">
        <f t="shared" si="22"/>
        <v>－</v>
      </c>
      <c r="P72" s="291" t="str">
        <f t="shared" si="6"/>
        <v>－</v>
      </c>
      <c r="R72" s="74">
        <v>2</v>
      </c>
    </row>
    <row r="73" spans="1:19">
      <c r="A73" s="284">
        <v>72</v>
      </c>
      <c r="B73" s="545"/>
      <c r="C73" s="548"/>
      <c r="D73" s="285" t="s">
        <v>232</v>
      </c>
      <c r="E73" s="373">
        <v>9</v>
      </c>
      <c r="F73" s="298" t="s">
        <v>4096</v>
      </c>
      <c r="G73" s="290" t="str" cm="1">
        <f t="array" ref="G73">INDEX('B 仕様入力シート　５６７地域'!$AS$29:$BA$31,R73,非表示_出力帳票へのリンク!E73)</f>
        <v>－</v>
      </c>
      <c r="H73" s="290" t="s">
        <v>4096</v>
      </c>
      <c r="I73" s="308" t="str">
        <f t="shared" si="21"/>
        <v>－</v>
      </c>
      <c r="J73" s="308" t="str">
        <f t="shared" si="19"/>
        <v>－</v>
      </c>
      <c r="K73" s="308" t="str">
        <f t="shared" si="19"/>
        <v>－</v>
      </c>
      <c r="L73" s="308" t="str">
        <f t="shared" si="19"/>
        <v>－</v>
      </c>
      <c r="M73" s="290" t="str">
        <f t="shared" si="22"/>
        <v>－</v>
      </c>
      <c r="N73" s="290" t="str">
        <f t="shared" si="22"/>
        <v>－</v>
      </c>
      <c r="O73" s="290" t="str">
        <f t="shared" si="22"/>
        <v>－</v>
      </c>
      <c r="P73" s="291" t="str">
        <f t="shared" si="6"/>
        <v>－</v>
      </c>
      <c r="R73" s="74">
        <v>2</v>
      </c>
      <c r="S73" s="379" t="s">
        <v>4163</v>
      </c>
    </row>
    <row r="74" spans="1:19">
      <c r="A74" s="284">
        <v>73</v>
      </c>
      <c r="B74" s="545"/>
      <c r="C74" s="547" t="s">
        <v>4060</v>
      </c>
      <c r="D74" s="288" t="s">
        <v>233</v>
      </c>
      <c r="E74" s="380">
        <v>1</v>
      </c>
      <c r="F74" s="297" t="s">
        <v>4096</v>
      </c>
      <c r="G74" s="292" t="str" cm="1">
        <f t="array" ref="G74">INDEX('B 仕様入力シート　５６７地域'!$AS$29:$BA$31,R74,非表示_出力帳票へのリンク!E74)</f>
        <v>－</v>
      </c>
      <c r="H74" s="292" t="str" cm="1">
        <f t="array" ref="H74">INDEX('B 仕様入力シート　８地域'!$AS$23:$BA$23,S74,非表示_出力帳票へのリンク!E74)</f>
        <v>－</v>
      </c>
      <c r="I74" s="307" t="str">
        <f t="shared" si="21"/>
        <v>－</v>
      </c>
      <c r="J74" s="307" t="str">
        <f t="shared" si="19"/>
        <v>－</v>
      </c>
      <c r="K74" s="307" t="str">
        <f t="shared" si="19"/>
        <v>－</v>
      </c>
      <c r="L74" s="307" t="str">
        <f t="shared" si="19"/>
        <v>－</v>
      </c>
      <c r="M74" s="292" t="str">
        <f t="shared" si="22"/>
        <v>－</v>
      </c>
      <c r="N74" s="292" t="str">
        <f t="shared" si="22"/>
        <v>－</v>
      </c>
      <c r="O74" s="292" t="str">
        <f t="shared" si="22"/>
        <v>－</v>
      </c>
      <c r="P74" s="293" t="str">
        <f t="shared" si="6"/>
        <v>－</v>
      </c>
      <c r="R74" s="74">
        <v>3</v>
      </c>
      <c r="S74" s="74">
        <v>1</v>
      </c>
    </row>
    <row r="75" spans="1:19">
      <c r="A75" s="284">
        <v>74</v>
      </c>
      <c r="B75" s="545"/>
      <c r="C75" s="548"/>
      <c r="D75" s="285" t="s">
        <v>4057</v>
      </c>
      <c r="E75" s="373">
        <v>2</v>
      </c>
      <c r="F75" s="298" t="s">
        <v>4096</v>
      </c>
      <c r="G75" s="290" t="str" cm="1">
        <f t="array" ref="G75">INDEX('B 仕様入力シート　５６７地域'!$AS$29:$BA$31,R75,非表示_出力帳票へのリンク!E75)</f>
        <v>－</v>
      </c>
      <c r="H75" s="290" t="str" cm="1">
        <f t="array" ref="H75">INDEX('B 仕様入力シート　８地域'!$AS$23:$BA$23,S75,非表示_出力帳票へのリンク!E75)</f>
        <v>－</v>
      </c>
      <c r="I75" s="308" t="str">
        <f t="shared" si="21"/>
        <v>－</v>
      </c>
      <c r="J75" s="308" t="str">
        <f t="shared" si="19"/>
        <v>－</v>
      </c>
      <c r="K75" s="308" t="str">
        <f t="shared" si="19"/>
        <v>－</v>
      </c>
      <c r="L75" s="308" t="str">
        <f t="shared" si="19"/>
        <v>－</v>
      </c>
      <c r="M75" s="290" t="str">
        <f t="shared" si="22"/>
        <v>－</v>
      </c>
      <c r="N75" s="290" t="str">
        <f t="shared" si="22"/>
        <v>－</v>
      </c>
      <c r="O75" s="290" t="str">
        <f t="shared" si="22"/>
        <v>－</v>
      </c>
      <c r="P75" s="291" t="str">
        <f t="shared" si="6"/>
        <v>－</v>
      </c>
      <c r="R75" s="74">
        <v>3</v>
      </c>
      <c r="S75" s="74">
        <v>1</v>
      </c>
    </row>
    <row r="76" spans="1:19">
      <c r="A76" s="284">
        <v>75</v>
      </c>
      <c r="B76" s="545"/>
      <c r="C76" s="548"/>
      <c r="D76" s="285" t="s">
        <v>4032</v>
      </c>
      <c r="E76" s="373">
        <v>3</v>
      </c>
      <c r="F76" s="298" t="s">
        <v>4096</v>
      </c>
      <c r="G76" s="290" t="str" cm="1">
        <f t="array" ref="G76">INDEX('B 仕様入力シート　５６７地域'!$AS$29:$BA$31,R76,非表示_出力帳票へのリンク!E76)</f>
        <v>－</v>
      </c>
      <c r="H76" s="290" t="str" cm="1">
        <f t="array" ref="H76">INDEX('B 仕様入力シート　８地域'!$AS$23:$BA$23,S76,非表示_出力帳票へのリンク!E76)</f>
        <v>－</v>
      </c>
      <c r="I76" s="308" t="str">
        <f t="shared" si="21"/>
        <v>－</v>
      </c>
      <c r="J76" s="308" t="str">
        <f t="shared" si="19"/>
        <v>－</v>
      </c>
      <c r="K76" s="308" t="str">
        <f t="shared" si="19"/>
        <v>－</v>
      </c>
      <c r="L76" s="308" t="str">
        <f t="shared" si="19"/>
        <v>－</v>
      </c>
      <c r="M76" s="290" t="str">
        <f t="shared" si="22"/>
        <v>－</v>
      </c>
      <c r="N76" s="290" t="str">
        <f t="shared" si="22"/>
        <v>－</v>
      </c>
      <c r="O76" s="290" t="str">
        <f t="shared" si="22"/>
        <v>－</v>
      </c>
      <c r="P76" s="291" t="str">
        <f t="shared" ref="P76:P100" si="23">$H76</f>
        <v>－</v>
      </c>
      <c r="R76" s="74">
        <v>3</v>
      </c>
      <c r="S76" s="74">
        <v>1</v>
      </c>
    </row>
    <row r="77" spans="1:19">
      <c r="A77" s="284">
        <v>76</v>
      </c>
      <c r="B77" s="545"/>
      <c r="C77" s="548"/>
      <c r="D77" s="285" t="s">
        <v>3961</v>
      </c>
      <c r="E77" s="373">
        <v>4</v>
      </c>
      <c r="F77" s="298" t="s">
        <v>4096</v>
      </c>
      <c r="G77" s="290" t="str" cm="1">
        <f t="array" ref="G77">INDEX('B 仕様入力シート　５６７地域'!$AS$29:$BA$31,R77,非表示_出力帳票へのリンク!E77)</f>
        <v>－</v>
      </c>
      <c r="H77" s="290" t="str" cm="1">
        <f t="array" ref="H77">INDEX('B 仕様入力シート　８地域'!$AS$23:$BA$23,S77,非表示_出力帳票へのリンク!E77)</f>
        <v>－</v>
      </c>
      <c r="I77" s="308" t="str">
        <f t="shared" si="21"/>
        <v>－</v>
      </c>
      <c r="J77" s="308" t="str">
        <f t="shared" si="19"/>
        <v>－</v>
      </c>
      <c r="K77" s="308" t="str">
        <f t="shared" si="19"/>
        <v>－</v>
      </c>
      <c r="L77" s="308" t="str">
        <f t="shared" si="19"/>
        <v>－</v>
      </c>
      <c r="M77" s="290" t="str">
        <f t="shared" si="22"/>
        <v>－</v>
      </c>
      <c r="N77" s="290" t="str">
        <f t="shared" si="22"/>
        <v>－</v>
      </c>
      <c r="O77" s="290" t="str">
        <f t="shared" si="22"/>
        <v>－</v>
      </c>
      <c r="P77" s="291" t="str">
        <f t="shared" si="23"/>
        <v>－</v>
      </c>
      <c r="R77" s="74">
        <v>3</v>
      </c>
      <c r="S77" s="74">
        <v>1</v>
      </c>
    </row>
    <row r="78" spans="1:19">
      <c r="A78" s="284">
        <v>77</v>
      </c>
      <c r="B78" s="545"/>
      <c r="C78" s="548"/>
      <c r="D78" s="285" t="s">
        <v>4034</v>
      </c>
      <c r="E78" s="373">
        <v>5</v>
      </c>
      <c r="F78" s="298" t="s">
        <v>4096</v>
      </c>
      <c r="G78" s="290" t="str" cm="1">
        <f t="array" ref="G78">INDEX('B 仕様入力シート　５６７地域'!$AS$29:$BA$31,R78,非表示_出力帳票へのリンク!E78)</f>
        <v>－</v>
      </c>
      <c r="H78" s="290" t="s">
        <v>4096</v>
      </c>
      <c r="I78" s="308" t="str">
        <f t="shared" si="21"/>
        <v>－</v>
      </c>
      <c r="J78" s="308" t="str">
        <f t="shared" si="19"/>
        <v>－</v>
      </c>
      <c r="K78" s="308" t="str">
        <f t="shared" si="19"/>
        <v>－</v>
      </c>
      <c r="L78" s="308" t="str">
        <f t="shared" si="19"/>
        <v>－</v>
      </c>
      <c r="M78" s="290" t="str">
        <f t="shared" si="22"/>
        <v>－</v>
      </c>
      <c r="N78" s="290" t="str">
        <f t="shared" si="22"/>
        <v>－</v>
      </c>
      <c r="O78" s="290" t="str">
        <f t="shared" si="22"/>
        <v>－</v>
      </c>
      <c r="P78" s="291" t="str">
        <f t="shared" si="23"/>
        <v>－</v>
      </c>
      <c r="R78" s="74">
        <v>3</v>
      </c>
      <c r="S78" s="74">
        <v>1</v>
      </c>
    </row>
    <row r="79" spans="1:19">
      <c r="A79" s="284">
        <v>78</v>
      </c>
      <c r="B79" s="545"/>
      <c r="C79" s="548"/>
      <c r="D79" s="285" t="s">
        <v>4035</v>
      </c>
      <c r="E79" s="373">
        <v>6</v>
      </c>
      <c r="F79" s="298" t="s">
        <v>4096</v>
      </c>
      <c r="G79" s="290" t="str" cm="1">
        <f t="array" ref="G79">INDEX('B 仕様入力シート　５６７地域'!$AS$29:$BA$31,R79,非表示_出力帳票へのリンク!E79)</f>
        <v>－</v>
      </c>
      <c r="H79" s="290" t="s">
        <v>4096</v>
      </c>
      <c r="I79" s="308" t="str">
        <f t="shared" si="21"/>
        <v>－</v>
      </c>
      <c r="J79" s="308" t="str">
        <f t="shared" si="19"/>
        <v>－</v>
      </c>
      <c r="K79" s="308" t="str">
        <f t="shared" si="19"/>
        <v>－</v>
      </c>
      <c r="L79" s="308" t="str">
        <f t="shared" si="19"/>
        <v>－</v>
      </c>
      <c r="M79" s="290" t="str">
        <f t="shared" si="22"/>
        <v>－</v>
      </c>
      <c r="N79" s="290" t="str">
        <f t="shared" si="22"/>
        <v>－</v>
      </c>
      <c r="O79" s="290" t="str">
        <f t="shared" si="22"/>
        <v>－</v>
      </c>
      <c r="P79" s="291" t="str">
        <f t="shared" si="23"/>
        <v>－</v>
      </c>
      <c r="R79" s="74">
        <v>3</v>
      </c>
      <c r="S79" s="74">
        <v>1</v>
      </c>
    </row>
    <row r="80" spans="1:19">
      <c r="A80" s="284">
        <v>79</v>
      </c>
      <c r="B80" s="545"/>
      <c r="C80" s="548"/>
      <c r="D80" s="285" t="s">
        <v>4036</v>
      </c>
      <c r="E80" s="373">
        <v>7</v>
      </c>
      <c r="F80" s="298" t="s">
        <v>4096</v>
      </c>
      <c r="G80" s="290" t="str" cm="1">
        <f t="array" ref="G80">INDEX('B 仕様入力シート　５６７地域'!$AS$29:$BA$31,R80,非表示_出力帳票へのリンク!E80)</f>
        <v>－</v>
      </c>
      <c r="H80" s="290" t="str" cm="1">
        <f t="array" ref="H80">INDEX('B 仕様入力シート　８地域'!$AS$23:$BA$23,S80,非表示_出力帳票へのリンク!E80)</f>
        <v>－</v>
      </c>
      <c r="I80" s="308" t="str">
        <f t="shared" si="21"/>
        <v>－</v>
      </c>
      <c r="J80" s="308" t="str">
        <f t="shared" si="19"/>
        <v>－</v>
      </c>
      <c r="K80" s="308" t="str">
        <f t="shared" si="19"/>
        <v>－</v>
      </c>
      <c r="L80" s="308" t="str">
        <f t="shared" si="19"/>
        <v>－</v>
      </c>
      <c r="M80" s="290" t="str">
        <f t="shared" si="22"/>
        <v>－</v>
      </c>
      <c r="N80" s="290" t="str">
        <f t="shared" si="22"/>
        <v>－</v>
      </c>
      <c r="O80" s="290" t="str">
        <f t="shared" si="22"/>
        <v>－</v>
      </c>
      <c r="P80" s="291" t="str">
        <f t="shared" si="23"/>
        <v>－</v>
      </c>
      <c r="R80" s="74">
        <v>3</v>
      </c>
      <c r="S80" s="74">
        <v>1</v>
      </c>
    </row>
    <row r="81" spans="1:19">
      <c r="A81" s="284">
        <v>80</v>
      </c>
      <c r="B81" s="545"/>
      <c r="C81" s="548"/>
      <c r="D81" s="285" t="s">
        <v>4037</v>
      </c>
      <c r="E81" s="373">
        <v>8</v>
      </c>
      <c r="F81" s="298" t="s">
        <v>4096</v>
      </c>
      <c r="G81" s="290" t="str" cm="1">
        <f t="array" ref="G81">INDEX('B 仕様入力シート　５６７地域'!$AS$29:$BA$31,R81,非表示_出力帳票へのリンク!E81)</f>
        <v>－</v>
      </c>
      <c r="H81" s="290" t="str" cm="1">
        <f t="array" ref="H81">INDEX('B 仕様入力シート　８地域'!$AS$23:$BA$23,S81,非表示_出力帳票へのリンク!E81)</f>
        <v>－</v>
      </c>
      <c r="I81" s="308" t="str">
        <f t="shared" si="21"/>
        <v>－</v>
      </c>
      <c r="J81" s="308" t="str">
        <f t="shared" si="19"/>
        <v>－</v>
      </c>
      <c r="K81" s="308" t="str">
        <f t="shared" si="19"/>
        <v>－</v>
      </c>
      <c r="L81" s="308" t="str">
        <f t="shared" si="19"/>
        <v>－</v>
      </c>
      <c r="M81" s="290" t="str">
        <f t="shared" si="22"/>
        <v>－</v>
      </c>
      <c r="N81" s="290" t="str">
        <f t="shared" si="22"/>
        <v>－</v>
      </c>
      <c r="O81" s="290" t="str">
        <f t="shared" si="22"/>
        <v>－</v>
      </c>
      <c r="P81" s="291" t="str">
        <f t="shared" si="23"/>
        <v>－</v>
      </c>
      <c r="R81" s="74">
        <v>3</v>
      </c>
      <c r="S81" s="74">
        <v>1</v>
      </c>
    </row>
    <row r="82" spans="1:19">
      <c r="A82" s="284">
        <v>81</v>
      </c>
      <c r="B82" s="546"/>
      <c r="C82" s="549"/>
      <c r="D82" s="289" t="s">
        <v>232</v>
      </c>
      <c r="E82" s="377">
        <v>9</v>
      </c>
      <c r="F82" s="299" t="s">
        <v>4096</v>
      </c>
      <c r="G82" s="294" t="str" cm="1">
        <f t="array" ref="G82">INDEX('B 仕様入力シート　５６７地域'!$AS$29:$BA$31,R82,非表示_出力帳票へのリンク!E82)</f>
        <v>－</v>
      </c>
      <c r="H82" s="294" t="str" cm="1">
        <f t="array" ref="H82">INDEX('B 仕様入力シート　８地域'!$AS$23:$BA$23,S82,非表示_出力帳票へのリンク!E82)</f>
        <v>－</v>
      </c>
      <c r="I82" s="309" t="str">
        <f t="shared" si="21"/>
        <v>－</v>
      </c>
      <c r="J82" s="309" t="str">
        <f t="shared" si="19"/>
        <v>－</v>
      </c>
      <c r="K82" s="309" t="str">
        <f t="shared" si="19"/>
        <v>－</v>
      </c>
      <c r="L82" s="309" t="str">
        <f t="shared" si="19"/>
        <v>－</v>
      </c>
      <c r="M82" s="294" t="str">
        <f t="shared" si="22"/>
        <v>－</v>
      </c>
      <c r="N82" s="294" t="str">
        <f t="shared" si="22"/>
        <v>－</v>
      </c>
      <c r="O82" s="294" t="str">
        <f t="shared" si="22"/>
        <v>－</v>
      </c>
      <c r="P82" s="295" t="str">
        <f t="shared" si="23"/>
        <v>－</v>
      </c>
      <c r="R82" s="74">
        <v>3</v>
      </c>
      <c r="S82" s="74">
        <v>1</v>
      </c>
    </row>
    <row r="83" spans="1:19">
      <c r="A83" s="284">
        <v>82</v>
      </c>
      <c r="B83" s="544" t="s">
        <v>4040</v>
      </c>
      <c r="C83" s="285" t="s">
        <v>235</v>
      </c>
      <c r="E83" s="380">
        <v>1</v>
      </c>
      <c r="F83" s="290" t="str" cm="1">
        <f t="array" ref="F83">INDEX('B 仕様入力シート　１２３４地域'!$AS$38:$AX$38,R83,非表示_出力帳票へのリンク!E83)</f>
        <v>－</v>
      </c>
      <c r="G83" s="303" t="str" cm="1">
        <f t="array" ref="G83">INDEX('B 仕様入力シート　５６７地域'!$AS$43:$AX$43,R83,非表示_出力帳票へのリンク!E83)</f>
        <v>－</v>
      </c>
      <c r="H83" s="298" t="s">
        <v>4096</v>
      </c>
      <c r="I83" s="290" t="str">
        <f t="shared" ref="I83:L100" si="24">$F83</f>
        <v>－</v>
      </c>
      <c r="J83" s="290" t="str">
        <f t="shared" si="24"/>
        <v>－</v>
      </c>
      <c r="K83" s="290" t="str">
        <f t="shared" si="24"/>
        <v>－</v>
      </c>
      <c r="L83" s="290" t="str">
        <f t="shared" si="24"/>
        <v>－</v>
      </c>
      <c r="M83" s="290" t="str">
        <f t="shared" si="22"/>
        <v>－</v>
      </c>
      <c r="N83" s="290" t="str">
        <f t="shared" si="22"/>
        <v>－</v>
      </c>
      <c r="O83" s="290" t="str">
        <f t="shared" si="22"/>
        <v>－</v>
      </c>
      <c r="P83" s="291" t="str">
        <f t="shared" si="23"/>
        <v>－</v>
      </c>
      <c r="R83" s="74">
        <v>1</v>
      </c>
    </row>
    <row r="84" spans="1:19">
      <c r="A84" s="284">
        <v>83</v>
      </c>
      <c r="B84" s="545"/>
      <c r="C84" s="285" t="s">
        <v>4038</v>
      </c>
      <c r="E84" s="373">
        <v>2</v>
      </c>
      <c r="F84" s="290" t="str" cm="1">
        <f t="array" ref="F84">INDEX('B 仕様入力シート　１２３４地域'!$AS$38:$AX$38,R84,非表示_出力帳票へのリンク!E84)</f>
        <v>－</v>
      </c>
      <c r="G84" s="290" t="str" cm="1">
        <f t="array" ref="G84">INDEX('B 仕様入力シート　５６７地域'!$AS$43:$AX$43,R84,非表示_出力帳票へのリンク!E84)</f>
        <v>－</v>
      </c>
      <c r="H84" s="298" t="s">
        <v>4096</v>
      </c>
      <c r="I84" s="290" t="str">
        <f t="shared" si="24"/>
        <v>－</v>
      </c>
      <c r="J84" s="290" t="str">
        <f t="shared" si="24"/>
        <v>－</v>
      </c>
      <c r="K84" s="290" t="str">
        <f t="shared" si="24"/>
        <v>－</v>
      </c>
      <c r="L84" s="290" t="str">
        <f t="shared" si="24"/>
        <v>－</v>
      </c>
      <c r="M84" s="290" t="str">
        <f t="shared" si="22"/>
        <v>－</v>
      </c>
      <c r="N84" s="290" t="str">
        <f t="shared" si="22"/>
        <v>－</v>
      </c>
      <c r="O84" s="290" t="str">
        <f t="shared" si="22"/>
        <v>－</v>
      </c>
      <c r="P84" s="291" t="str">
        <f t="shared" si="23"/>
        <v>－</v>
      </c>
      <c r="R84" s="74">
        <v>1</v>
      </c>
    </row>
    <row r="85" spans="1:19">
      <c r="A85" s="284">
        <v>84</v>
      </c>
      <c r="B85" s="545"/>
      <c r="C85" s="285" t="s">
        <v>4049</v>
      </c>
      <c r="E85" s="373">
        <v>3</v>
      </c>
      <c r="F85" s="290" t="str" cm="1">
        <f t="array" ref="F85">INDEX('B 仕様入力シート　１２３４地域'!$AS$38:$AX$38,R85,非表示_出力帳票へのリンク!E85)</f>
        <v>－</v>
      </c>
      <c r="G85" s="290" t="str" cm="1">
        <f t="array" ref="G85">INDEX('B 仕様入力シート　５６７地域'!$AS$43:$AX$43,R85,非表示_出力帳票へのリンク!E85)</f>
        <v>－</v>
      </c>
      <c r="H85" s="298" t="s">
        <v>4096</v>
      </c>
      <c r="I85" s="290" t="str">
        <f t="shared" si="24"/>
        <v>－</v>
      </c>
      <c r="J85" s="290" t="str">
        <f t="shared" si="24"/>
        <v>－</v>
      </c>
      <c r="K85" s="290" t="str">
        <f t="shared" si="24"/>
        <v>－</v>
      </c>
      <c r="L85" s="290" t="str">
        <f t="shared" si="24"/>
        <v>－</v>
      </c>
      <c r="M85" s="290" t="str">
        <f t="shared" si="22"/>
        <v>－</v>
      </c>
      <c r="N85" s="290" t="str">
        <f t="shared" si="22"/>
        <v>－</v>
      </c>
      <c r="O85" s="290" t="str">
        <f t="shared" si="22"/>
        <v>－</v>
      </c>
      <c r="P85" s="291" t="str">
        <f t="shared" si="23"/>
        <v>－</v>
      </c>
      <c r="R85" s="74">
        <v>1</v>
      </c>
    </row>
    <row r="86" spans="1:19">
      <c r="A86" s="284">
        <v>85</v>
      </c>
      <c r="B86" s="545"/>
      <c r="C86" s="285" t="s">
        <v>4034</v>
      </c>
      <c r="E86" s="373">
        <v>4</v>
      </c>
      <c r="F86" s="290" t="str" cm="1">
        <f t="array" ref="F86">INDEX('B 仕様入力シート　１２３４地域'!$AS$38:$AX$38,R86,非表示_出力帳票へのリンク!E86)</f>
        <v>－</v>
      </c>
      <c r="G86" s="290" t="str" cm="1">
        <f t="array" ref="G86">INDEX('B 仕様入力シート　５６７地域'!$AS$43:$AX$43,R86,非表示_出力帳票へのリンク!E86)</f>
        <v>－</v>
      </c>
      <c r="H86" s="298" t="s">
        <v>4096</v>
      </c>
      <c r="I86" s="290" t="str">
        <f t="shared" si="24"/>
        <v>－</v>
      </c>
      <c r="J86" s="290" t="str">
        <f t="shared" si="24"/>
        <v>－</v>
      </c>
      <c r="K86" s="290" t="str">
        <f t="shared" si="24"/>
        <v>－</v>
      </c>
      <c r="L86" s="290" t="str">
        <f t="shared" si="24"/>
        <v>－</v>
      </c>
      <c r="M86" s="290" t="str">
        <f t="shared" si="22"/>
        <v>－</v>
      </c>
      <c r="N86" s="290" t="str">
        <f t="shared" si="22"/>
        <v>－</v>
      </c>
      <c r="O86" s="290" t="str">
        <f t="shared" si="22"/>
        <v>－</v>
      </c>
      <c r="P86" s="291" t="str">
        <f t="shared" si="23"/>
        <v>－</v>
      </c>
      <c r="R86" s="74">
        <v>1</v>
      </c>
    </row>
    <row r="87" spans="1:19">
      <c r="A87" s="284">
        <v>86</v>
      </c>
      <c r="B87" s="545"/>
      <c r="C87" s="285" t="s">
        <v>4035</v>
      </c>
      <c r="E87" s="373">
        <v>5</v>
      </c>
      <c r="F87" s="290" t="str" cm="1">
        <f t="array" ref="F87">INDEX('B 仕様入力シート　１２３４地域'!$AS$38:$AX$38,R87,非表示_出力帳票へのリンク!E87)</f>
        <v>－</v>
      </c>
      <c r="G87" s="290" t="str" cm="1">
        <f t="array" ref="G87">INDEX('B 仕様入力シート　５６７地域'!$AS$43:$AX$43,R87,非表示_出力帳票へのリンク!E87)</f>
        <v>－</v>
      </c>
      <c r="H87" s="298" t="s">
        <v>4096</v>
      </c>
      <c r="I87" s="290" t="str">
        <f t="shared" si="24"/>
        <v>－</v>
      </c>
      <c r="J87" s="290" t="str">
        <f t="shared" si="24"/>
        <v>－</v>
      </c>
      <c r="K87" s="290" t="str">
        <f t="shared" si="24"/>
        <v>－</v>
      </c>
      <c r="L87" s="290" t="str">
        <f t="shared" si="24"/>
        <v>－</v>
      </c>
      <c r="M87" s="290" t="str">
        <f t="shared" si="22"/>
        <v>－</v>
      </c>
      <c r="N87" s="290" t="str">
        <f t="shared" si="22"/>
        <v>－</v>
      </c>
      <c r="O87" s="290" t="str">
        <f t="shared" si="22"/>
        <v>－</v>
      </c>
      <c r="P87" s="291" t="str">
        <f t="shared" si="23"/>
        <v>－</v>
      </c>
      <c r="R87" s="74">
        <v>1</v>
      </c>
    </row>
    <row r="88" spans="1:19">
      <c r="A88" s="284">
        <v>87</v>
      </c>
      <c r="B88" s="546"/>
      <c r="C88" s="285" t="s">
        <v>232</v>
      </c>
      <c r="E88" s="373">
        <v>6</v>
      </c>
      <c r="F88" s="290" t="str" cm="1">
        <f t="array" ref="F88">INDEX('B 仕様入力シート　１２３４地域'!$AS$38:$AX$38,R88,非表示_出力帳票へのリンク!E88)</f>
        <v>－</v>
      </c>
      <c r="G88" s="290" t="str" cm="1">
        <f t="array" ref="G88">INDEX('B 仕様入力シート　５６７地域'!$AS$43:$AX$43,R88,非表示_出力帳票へのリンク!E88)</f>
        <v>－</v>
      </c>
      <c r="H88" s="298" t="s">
        <v>4096</v>
      </c>
      <c r="I88" s="290" t="str">
        <f t="shared" si="24"/>
        <v>－</v>
      </c>
      <c r="J88" s="290" t="str">
        <f t="shared" si="24"/>
        <v>－</v>
      </c>
      <c r="K88" s="290" t="str">
        <f t="shared" si="24"/>
        <v>－</v>
      </c>
      <c r="L88" s="290" t="str">
        <f t="shared" si="24"/>
        <v>－</v>
      </c>
      <c r="M88" s="290" t="str">
        <f t="shared" si="22"/>
        <v>－</v>
      </c>
      <c r="N88" s="290" t="str">
        <f t="shared" si="22"/>
        <v>－</v>
      </c>
      <c r="O88" s="290" t="str">
        <f t="shared" si="22"/>
        <v>－</v>
      </c>
      <c r="P88" s="291" t="str">
        <f t="shared" si="23"/>
        <v>－</v>
      </c>
      <c r="R88" s="74">
        <v>1</v>
      </c>
    </row>
    <row r="89" spans="1:19">
      <c r="A89" s="284">
        <v>88</v>
      </c>
      <c r="B89" s="547" t="s">
        <v>4041</v>
      </c>
      <c r="C89" s="544" t="s">
        <v>44</v>
      </c>
      <c r="D89" s="288" t="s">
        <v>45</v>
      </c>
      <c r="E89" s="297"/>
      <c r="F89" s="292" t="str">
        <f>'B 仕様入力シート　１２３４地域'!AU42</f>
        <v/>
      </c>
      <c r="G89" s="292" t="str">
        <f>'B 仕様入力シート　５６７地域'!AU47</f>
        <v/>
      </c>
      <c r="H89" s="297"/>
      <c r="I89" s="292" t="str">
        <f t="shared" si="24"/>
        <v/>
      </c>
      <c r="J89" s="292" t="str">
        <f t="shared" si="24"/>
        <v/>
      </c>
      <c r="K89" s="292" t="str">
        <f t="shared" si="24"/>
        <v/>
      </c>
      <c r="L89" s="292" t="str">
        <f t="shared" si="24"/>
        <v/>
      </c>
      <c r="M89" s="292" t="str">
        <f t="shared" si="22"/>
        <v/>
      </c>
      <c r="N89" s="292" t="str">
        <f t="shared" si="22"/>
        <v/>
      </c>
      <c r="O89" s="292" t="str">
        <f t="shared" si="22"/>
        <v/>
      </c>
      <c r="P89" s="310" t="str">
        <f>IF($H89="","",$H89)</f>
        <v/>
      </c>
    </row>
    <row r="90" spans="1:19">
      <c r="A90" s="284">
        <v>89</v>
      </c>
      <c r="B90" s="548"/>
      <c r="C90" s="545"/>
      <c r="D90" s="285" t="s">
        <v>4087</v>
      </c>
      <c r="E90" s="298"/>
      <c r="F90" s="290" t="str">
        <f>'B 仕様入力シート　１２３４地域'!AU43</f>
        <v/>
      </c>
      <c r="G90" s="290" t="str">
        <f>'B 仕様入力シート　５６７地域'!AU48</f>
        <v/>
      </c>
      <c r="H90" s="298"/>
      <c r="I90" s="290" t="str">
        <f t="shared" si="24"/>
        <v/>
      </c>
      <c r="J90" s="290" t="str">
        <f t="shared" si="24"/>
        <v/>
      </c>
      <c r="K90" s="290" t="str">
        <f t="shared" si="24"/>
        <v/>
      </c>
      <c r="L90" s="290" t="str">
        <f t="shared" si="24"/>
        <v/>
      </c>
      <c r="M90" s="290" t="str">
        <f t="shared" si="22"/>
        <v/>
      </c>
      <c r="N90" s="290" t="str">
        <f t="shared" si="22"/>
        <v/>
      </c>
      <c r="O90" s="290" t="str">
        <f t="shared" si="22"/>
        <v/>
      </c>
      <c r="P90" s="311" t="str">
        <f>IF($H90="","",$H90)</f>
        <v/>
      </c>
    </row>
    <row r="91" spans="1:19">
      <c r="A91" s="284">
        <v>90</v>
      </c>
      <c r="B91" s="548"/>
      <c r="C91" s="545"/>
      <c r="D91" s="285" t="s">
        <v>3991</v>
      </c>
      <c r="E91" s="298"/>
      <c r="F91" s="290" t="str">
        <f>'B 仕様入力シート　１２３４地域'!AU44</f>
        <v/>
      </c>
      <c r="G91" s="290" t="str">
        <f>'B 仕様入力シート　５６７地域'!AU49</f>
        <v/>
      </c>
      <c r="H91" s="298"/>
      <c r="I91" s="290" t="str">
        <f t="shared" si="24"/>
        <v/>
      </c>
      <c r="J91" s="290" t="str">
        <f t="shared" si="24"/>
        <v/>
      </c>
      <c r="K91" s="290" t="str">
        <f t="shared" si="24"/>
        <v/>
      </c>
      <c r="L91" s="290" t="str">
        <f t="shared" si="24"/>
        <v/>
      </c>
      <c r="M91" s="290" t="str">
        <f>$G91</f>
        <v/>
      </c>
      <c r="N91" s="290" t="str">
        <f t="shared" si="22"/>
        <v/>
      </c>
      <c r="O91" s="290" t="str">
        <f t="shared" si="22"/>
        <v/>
      </c>
      <c r="P91" s="311" t="str">
        <f>IF($H91="","",$H91)</f>
        <v/>
      </c>
    </row>
    <row r="92" spans="1:19">
      <c r="A92" s="284">
        <v>91</v>
      </c>
      <c r="B92" s="548"/>
      <c r="C92" s="544" t="s">
        <v>46</v>
      </c>
      <c r="D92" s="288" t="s">
        <v>4042</v>
      </c>
      <c r="E92" s="297"/>
      <c r="F92" s="292" t="str">
        <f>'B 仕様入力シート　１２３４地域'!AU45</f>
        <v/>
      </c>
      <c r="G92" s="292" t="str">
        <f>'B 仕様入力シート　５６７地域'!AU50</f>
        <v/>
      </c>
      <c r="H92" s="292" t="str">
        <f>'B 仕様入力シート　８地域'!AU35</f>
        <v/>
      </c>
      <c r="I92" s="292" t="str">
        <f t="shared" si="24"/>
        <v/>
      </c>
      <c r="J92" s="292" t="str">
        <f t="shared" si="24"/>
        <v/>
      </c>
      <c r="K92" s="292" t="str">
        <f t="shared" si="24"/>
        <v/>
      </c>
      <c r="L92" s="292" t="str">
        <f t="shared" si="24"/>
        <v/>
      </c>
      <c r="M92" s="292" t="str">
        <f t="shared" si="22"/>
        <v/>
      </c>
      <c r="N92" s="292" t="str">
        <f t="shared" si="22"/>
        <v/>
      </c>
      <c r="O92" s="292" t="str">
        <f t="shared" si="22"/>
        <v/>
      </c>
      <c r="P92" s="293" t="str">
        <f>$H92</f>
        <v/>
      </c>
    </row>
    <row r="93" spans="1:19">
      <c r="A93" s="284">
        <v>92</v>
      </c>
      <c r="B93" s="548"/>
      <c r="C93" s="545"/>
      <c r="D93" s="285" t="s">
        <v>4087</v>
      </c>
      <c r="E93" s="298"/>
      <c r="F93" s="290" t="str">
        <f>'B 仕様入力シート　１２３４地域'!AU46</f>
        <v/>
      </c>
      <c r="G93" s="290" t="str">
        <f>'B 仕様入力シート　５６７地域'!AU51</f>
        <v/>
      </c>
      <c r="H93" s="290" t="str">
        <f>'B 仕様入力シート　８地域'!AU36</f>
        <v/>
      </c>
      <c r="I93" s="290" t="str">
        <f t="shared" si="24"/>
        <v/>
      </c>
      <c r="J93" s="290" t="str">
        <f t="shared" si="24"/>
        <v/>
      </c>
      <c r="K93" s="290" t="str">
        <f t="shared" si="24"/>
        <v/>
      </c>
      <c r="L93" s="290" t="str">
        <f t="shared" si="24"/>
        <v/>
      </c>
      <c r="M93" s="290" t="str">
        <f t="shared" si="22"/>
        <v/>
      </c>
      <c r="N93" s="290" t="str">
        <f t="shared" si="22"/>
        <v/>
      </c>
      <c r="O93" s="290" t="str">
        <f t="shared" si="22"/>
        <v/>
      </c>
      <c r="P93" s="311" t="str">
        <f>IF($H93="","",$H93)</f>
        <v/>
      </c>
    </row>
    <row r="94" spans="1:19">
      <c r="A94" s="284">
        <v>93</v>
      </c>
      <c r="B94" s="548"/>
      <c r="C94" s="546"/>
      <c r="D94" s="289" t="s">
        <v>3991</v>
      </c>
      <c r="E94" s="299"/>
      <c r="F94" s="294" t="str">
        <f>'B 仕様入力シート　１２３４地域'!AU47</f>
        <v/>
      </c>
      <c r="G94" s="294" t="str">
        <f>'B 仕様入力シート　５６７地域'!AU52</f>
        <v/>
      </c>
      <c r="H94" s="294" t="str">
        <f>'B 仕様入力シート　８地域'!AU37</f>
        <v/>
      </c>
      <c r="I94" s="294" t="str">
        <f t="shared" si="24"/>
        <v/>
      </c>
      <c r="J94" s="294" t="str">
        <f t="shared" si="24"/>
        <v/>
      </c>
      <c r="K94" s="294" t="str">
        <f t="shared" si="24"/>
        <v/>
      </c>
      <c r="L94" s="294" t="str">
        <f t="shared" si="24"/>
        <v/>
      </c>
      <c r="M94" s="294" t="str">
        <f t="shared" si="22"/>
        <v/>
      </c>
      <c r="N94" s="294" t="str">
        <f t="shared" si="22"/>
        <v/>
      </c>
      <c r="O94" s="294" t="str">
        <f t="shared" si="22"/>
        <v/>
      </c>
      <c r="P94" s="295" t="str">
        <f t="shared" si="23"/>
        <v/>
      </c>
    </row>
    <row r="95" spans="1:19">
      <c r="A95" s="284">
        <v>94</v>
      </c>
      <c r="B95" s="548"/>
      <c r="C95" s="545" t="s">
        <v>47</v>
      </c>
      <c r="D95" s="285" t="s">
        <v>48</v>
      </c>
      <c r="E95" s="298"/>
      <c r="F95" s="290" t="str">
        <f>'B 仕様入力シート　１２３４地域'!AU48</f>
        <v/>
      </c>
      <c r="G95" s="290" t="str">
        <f>'B 仕様入力シート　５６７地域'!AU53</f>
        <v/>
      </c>
      <c r="H95" s="290" t="str">
        <f>'B 仕様入力シート　８地域'!AU38</f>
        <v/>
      </c>
      <c r="I95" s="290" t="str">
        <f t="shared" si="24"/>
        <v/>
      </c>
      <c r="J95" s="290" t="str">
        <f t="shared" si="24"/>
        <v/>
      </c>
      <c r="K95" s="290" t="str">
        <f t="shared" si="24"/>
        <v/>
      </c>
      <c r="L95" s="290" t="str">
        <f t="shared" si="24"/>
        <v/>
      </c>
      <c r="M95" s="290" t="str">
        <f t="shared" si="22"/>
        <v/>
      </c>
      <c r="N95" s="290" t="str">
        <f t="shared" si="22"/>
        <v/>
      </c>
      <c r="O95" s="290" t="str">
        <f t="shared" si="22"/>
        <v/>
      </c>
      <c r="P95" s="291" t="str">
        <f t="shared" si="23"/>
        <v/>
      </c>
    </row>
    <row r="96" spans="1:19">
      <c r="A96" s="284">
        <v>95</v>
      </c>
      <c r="B96" s="548"/>
      <c r="C96" s="545"/>
      <c r="D96" s="285" t="s">
        <v>3991</v>
      </c>
      <c r="E96" s="298"/>
      <c r="F96" s="290" t="str">
        <f>'B 仕様入力シート　１２３４地域'!AU49</f>
        <v/>
      </c>
      <c r="G96" s="290" t="str">
        <f>'B 仕様入力シート　５６７地域'!AU54</f>
        <v/>
      </c>
      <c r="H96" s="290" t="str">
        <f>'B 仕様入力シート　８地域'!AU39</f>
        <v/>
      </c>
      <c r="I96" s="290" t="str">
        <f t="shared" si="24"/>
        <v/>
      </c>
      <c r="J96" s="290" t="str">
        <f t="shared" si="24"/>
        <v/>
      </c>
      <c r="K96" s="290" t="str">
        <f t="shared" si="24"/>
        <v/>
      </c>
      <c r="L96" s="290" t="str">
        <f t="shared" si="24"/>
        <v/>
      </c>
      <c r="M96" s="290" t="str">
        <f t="shared" si="22"/>
        <v/>
      </c>
      <c r="N96" s="290" t="str">
        <f t="shared" si="22"/>
        <v/>
      </c>
      <c r="O96" s="290" t="str">
        <f t="shared" si="22"/>
        <v/>
      </c>
      <c r="P96" s="291" t="str">
        <f t="shared" si="23"/>
        <v/>
      </c>
    </row>
    <row r="97" spans="1:16">
      <c r="A97" s="284">
        <v>96</v>
      </c>
      <c r="B97" s="548"/>
      <c r="C97" s="544" t="s">
        <v>49</v>
      </c>
      <c r="D97" s="288" t="s">
        <v>50</v>
      </c>
      <c r="E97" s="297"/>
      <c r="F97" s="292" t="str">
        <f>'B 仕様入力シート　１２３４地域'!AU50</f>
        <v/>
      </c>
      <c r="G97" s="292" t="str">
        <f>'B 仕様入力シート　５６７地域'!AU55</f>
        <v/>
      </c>
      <c r="H97" s="292" t="str">
        <f>'B 仕様入力シート　８地域'!AU40</f>
        <v/>
      </c>
      <c r="I97" s="292" t="str">
        <f t="shared" si="24"/>
        <v/>
      </c>
      <c r="J97" s="292" t="str">
        <f t="shared" si="24"/>
        <v/>
      </c>
      <c r="K97" s="292" t="str">
        <f t="shared" si="24"/>
        <v/>
      </c>
      <c r="L97" s="292" t="str">
        <f t="shared" si="24"/>
        <v/>
      </c>
      <c r="M97" s="292" t="str">
        <f t="shared" si="22"/>
        <v/>
      </c>
      <c r="N97" s="292" t="str">
        <f t="shared" si="22"/>
        <v/>
      </c>
      <c r="O97" s="292" t="str">
        <f t="shared" si="22"/>
        <v/>
      </c>
      <c r="P97" s="293" t="str">
        <f t="shared" si="23"/>
        <v/>
      </c>
    </row>
    <row r="98" spans="1:16">
      <c r="A98" s="284">
        <v>97</v>
      </c>
      <c r="B98" s="548"/>
      <c r="C98" s="546"/>
      <c r="D98" s="289" t="s">
        <v>3991</v>
      </c>
      <c r="E98" s="299"/>
      <c r="F98" s="294" t="str">
        <f>'B 仕様入力シート　１２３４地域'!AU51</f>
        <v/>
      </c>
      <c r="G98" s="294" t="str">
        <f>'B 仕様入力シート　５６７地域'!AU56</f>
        <v/>
      </c>
      <c r="H98" s="294" t="str">
        <f>'B 仕様入力シート　８地域'!AU41</f>
        <v/>
      </c>
      <c r="I98" s="294" t="str">
        <f t="shared" si="24"/>
        <v/>
      </c>
      <c r="J98" s="294" t="str">
        <f t="shared" si="24"/>
        <v/>
      </c>
      <c r="K98" s="294" t="str">
        <f t="shared" si="24"/>
        <v/>
      </c>
      <c r="L98" s="294" t="str">
        <f t="shared" si="24"/>
        <v/>
      </c>
      <c r="M98" s="294" t="str">
        <f t="shared" si="22"/>
        <v/>
      </c>
      <c r="N98" s="294" t="str">
        <f t="shared" si="22"/>
        <v/>
      </c>
      <c r="O98" s="294" t="str">
        <f t="shared" si="22"/>
        <v/>
      </c>
      <c r="P98" s="295" t="str">
        <f t="shared" si="23"/>
        <v/>
      </c>
    </row>
    <row r="99" spans="1:16">
      <c r="A99" s="284">
        <v>98</v>
      </c>
      <c r="B99" s="548"/>
      <c r="C99" s="545" t="s">
        <v>3967</v>
      </c>
      <c r="D99" s="285" t="s">
        <v>51</v>
      </c>
      <c r="E99" s="298"/>
      <c r="F99" s="290" t="str">
        <f>'B 仕様入力シート　１２３４地域'!AU52</f>
        <v/>
      </c>
      <c r="G99" s="290" t="str">
        <f>'B 仕様入力シート　５６７地域'!AU57</f>
        <v/>
      </c>
      <c r="H99" s="290" t="str">
        <f>'B 仕様入力シート　８地域'!AU42</f>
        <v/>
      </c>
      <c r="I99" s="290" t="str">
        <f t="shared" si="24"/>
        <v/>
      </c>
      <c r="J99" s="290" t="str">
        <f t="shared" si="24"/>
        <v/>
      </c>
      <c r="K99" s="290" t="str">
        <f t="shared" si="24"/>
        <v/>
      </c>
      <c r="L99" s="290" t="str">
        <f t="shared" si="24"/>
        <v/>
      </c>
      <c r="M99" s="290" t="str">
        <f t="shared" si="22"/>
        <v/>
      </c>
      <c r="N99" s="290" t="str">
        <f t="shared" si="22"/>
        <v/>
      </c>
      <c r="O99" s="290" t="str">
        <f t="shared" si="22"/>
        <v/>
      </c>
      <c r="P99" s="291" t="str">
        <f t="shared" si="23"/>
        <v/>
      </c>
    </row>
    <row r="100" spans="1:16">
      <c r="A100" s="284">
        <v>99</v>
      </c>
      <c r="B100" s="549"/>
      <c r="C100" s="546"/>
      <c r="D100" s="289" t="s">
        <v>3991</v>
      </c>
      <c r="E100" s="299"/>
      <c r="F100" s="294" t="str">
        <f>'B 仕様入力シート　１２３４地域'!AU53</f>
        <v/>
      </c>
      <c r="G100" s="294" t="str">
        <f>'B 仕様入力シート　５６７地域'!AU58</f>
        <v/>
      </c>
      <c r="H100" s="294" t="str">
        <f>'B 仕様入力シート　８地域'!AU43</f>
        <v/>
      </c>
      <c r="I100" s="294" t="str">
        <f t="shared" si="24"/>
        <v/>
      </c>
      <c r="J100" s="294" t="str">
        <f t="shared" si="24"/>
        <v/>
      </c>
      <c r="K100" s="294" t="str">
        <f t="shared" si="24"/>
        <v/>
      </c>
      <c r="L100" s="294" t="str">
        <f t="shared" si="24"/>
        <v/>
      </c>
      <c r="M100" s="294" t="str">
        <f t="shared" si="22"/>
        <v/>
      </c>
      <c r="N100" s="294" t="str">
        <f t="shared" si="22"/>
        <v/>
      </c>
      <c r="O100" s="294" t="str">
        <f t="shared" si="22"/>
        <v/>
      </c>
      <c r="P100" s="295" t="str">
        <f t="shared" si="23"/>
        <v/>
      </c>
    </row>
  </sheetData>
  <mergeCells count="20">
    <mergeCell ref="C23:C28"/>
    <mergeCell ref="C29:C34"/>
    <mergeCell ref="C35:C40"/>
    <mergeCell ref="C74:C82"/>
    <mergeCell ref="B11:B50"/>
    <mergeCell ref="B51:B82"/>
    <mergeCell ref="C41:C45"/>
    <mergeCell ref="C46:C50"/>
    <mergeCell ref="C51:C57"/>
    <mergeCell ref="C58:C64"/>
    <mergeCell ref="C65:C73"/>
    <mergeCell ref="C11:C16"/>
    <mergeCell ref="C17:C22"/>
    <mergeCell ref="B83:B88"/>
    <mergeCell ref="B89:B100"/>
    <mergeCell ref="C89:C91"/>
    <mergeCell ref="C92:C94"/>
    <mergeCell ref="C95:C96"/>
    <mergeCell ref="C97:C98"/>
    <mergeCell ref="C99:C100"/>
  </mergeCells>
  <phoneticPr fontId="12"/>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855ED-356D-47A5-8DFA-FB9E26F54800}">
  <sheetPr codeName="Sheet6">
    <tabColor rgb="FFCCECFF"/>
    <pageSetUpPr fitToPage="1"/>
  </sheetPr>
  <dimension ref="A1:AF41"/>
  <sheetViews>
    <sheetView showGridLines="0" view="pageBreakPreview" topLeftCell="B2" zoomScale="70" zoomScaleNormal="60" zoomScaleSheetLayoutView="70" workbookViewId="0">
      <selection activeCell="E25" sqref="E25:F25"/>
    </sheetView>
  </sheetViews>
  <sheetFormatPr defaultColWidth="0" defaultRowHeight="20.100000000000001" customHeight="1" zeroHeight="1"/>
  <cols>
    <col min="1" max="1" width="4.625" style="254" hidden="1" customWidth="1"/>
    <col min="2" max="2" width="4.625" style="254" customWidth="1"/>
    <col min="3" max="4" width="6.625" style="258" customWidth="1"/>
    <col min="5" max="5" width="10.125" style="258" customWidth="1"/>
    <col min="6" max="6" width="10.625" style="258" customWidth="1"/>
    <col min="7" max="10" width="9.625" style="258" customWidth="1"/>
    <col min="11" max="11" width="10.625" style="258" customWidth="1"/>
    <col min="12" max="13" width="9.625" style="258" customWidth="1"/>
    <col min="14" max="15" width="10.625" style="258" customWidth="1"/>
    <col min="16" max="25" width="9.625" style="258" customWidth="1"/>
    <col min="26" max="26" width="4.625" style="258" customWidth="1"/>
    <col min="27" max="32" width="10.625" style="258" hidden="1" customWidth="1"/>
    <col min="33" max="16384" width="9" style="258" hidden="1"/>
  </cols>
  <sheetData>
    <row r="1" spans="1:29" s="1" customFormat="1" ht="18" hidden="1" customHeight="1">
      <c r="C1" s="254">
        <v>6</v>
      </c>
      <c r="D1" s="254">
        <v>6</v>
      </c>
      <c r="E1" s="254">
        <v>9.5</v>
      </c>
      <c r="F1" s="254">
        <v>10</v>
      </c>
      <c r="G1" s="254">
        <v>9</v>
      </c>
      <c r="H1" s="254">
        <v>9</v>
      </c>
      <c r="I1" s="254">
        <v>9</v>
      </c>
      <c r="J1" s="254">
        <v>10</v>
      </c>
      <c r="K1" s="254">
        <v>9</v>
      </c>
      <c r="L1" s="254">
        <v>9</v>
      </c>
      <c r="M1" s="254">
        <v>9</v>
      </c>
      <c r="N1" s="254">
        <v>10</v>
      </c>
      <c r="O1" s="254">
        <v>10</v>
      </c>
      <c r="P1" s="254">
        <v>9</v>
      </c>
      <c r="Q1" s="254">
        <v>9</v>
      </c>
      <c r="R1" s="254">
        <v>9</v>
      </c>
      <c r="S1" s="254">
        <v>9</v>
      </c>
      <c r="T1" s="254">
        <v>9</v>
      </c>
      <c r="U1" s="254">
        <v>9</v>
      </c>
      <c r="V1" s="254"/>
      <c r="W1" s="254">
        <v>9</v>
      </c>
      <c r="X1" s="254">
        <v>9</v>
      </c>
      <c r="Y1" s="254">
        <v>9</v>
      </c>
    </row>
    <row r="2" spans="1:29" s="1" customFormat="1" ht="18" customHeight="1">
      <c r="C2" s="13"/>
    </row>
    <row r="3" spans="1:29" ht="30" customHeight="1">
      <c r="A3" s="254">
        <v>30</v>
      </c>
      <c r="C3" s="255" t="s">
        <v>4167</v>
      </c>
      <c r="D3" s="256"/>
      <c r="E3" s="257"/>
      <c r="F3" s="257"/>
      <c r="G3" s="257"/>
      <c r="J3" s="259" t="s">
        <v>39</v>
      </c>
      <c r="K3" s="257"/>
      <c r="L3" s="257"/>
      <c r="M3" s="257"/>
      <c r="N3" s="257"/>
      <c r="O3" s="260"/>
      <c r="P3" s="257"/>
      <c r="Q3" s="260"/>
      <c r="R3" s="257"/>
      <c r="S3" s="257"/>
      <c r="W3" s="261"/>
      <c r="X3" s="261"/>
      <c r="AA3" s="254" t="s">
        <v>4092</v>
      </c>
    </row>
    <row r="4" spans="1:29" ht="3" customHeight="1">
      <c r="A4" s="254">
        <v>6</v>
      </c>
      <c r="C4" s="257"/>
      <c r="D4" s="256"/>
      <c r="E4" s="257"/>
      <c r="F4" s="257"/>
      <c r="G4" s="257"/>
      <c r="H4" s="257"/>
      <c r="I4" s="257"/>
      <c r="J4" s="257"/>
      <c r="K4" s="257"/>
      <c r="L4" s="257"/>
      <c r="M4" s="257"/>
      <c r="N4" s="257"/>
      <c r="O4" s="257"/>
      <c r="P4" s="257"/>
      <c r="Q4" s="257"/>
      <c r="R4" s="257"/>
      <c r="S4" s="257"/>
    </row>
    <row r="5" spans="1:29" ht="30" customHeight="1" thickBot="1">
      <c r="A5" s="254">
        <v>30</v>
      </c>
      <c r="C5" s="262" t="s">
        <v>3957</v>
      </c>
      <c r="D5" s="263"/>
      <c r="AA5" s="258" t="s">
        <v>4061</v>
      </c>
      <c r="AB5" s="313" t="str">
        <f>'A 最初に入力してください　基本情報'!C21</f>
        <v/>
      </c>
      <c r="AC5" s="258" t="e">
        <f>AB5+8</f>
        <v>#VALUE!</v>
      </c>
    </row>
    <row r="6" spans="1:29" ht="27.75" customHeight="1">
      <c r="A6" s="254">
        <v>27</v>
      </c>
      <c r="C6" s="558" t="s">
        <v>4278</v>
      </c>
      <c r="D6" s="567"/>
      <c r="E6" s="559"/>
      <c r="F6" s="682" t="str">
        <f>IFERROR(VLOOKUP(1,非表示_出力帳票へのリンク!$A$2:$P$100,'C 仕様表（仕様基準）'!AC5,FALSE),"")</f>
        <v/>
      </c>
      <c r="G6" s="683"/>
      <c r="H6" s="683"/>
      <c r="I6" s="683"/>
      <c r="J6" s="684"/>
      <c r="K6" s="264" t="s">
        <v>514</v>
      </c>
      <c r="L6" s="690" t="str">
        <f>IFERROR(VLOOKUP(2,非表示_出力帳票へのリンク!$A$2:$P$100,'C 仕様表（仕様基準）'!AC5,FALSE),"")</f>
        <v/>
      </c>
      <c r="M6" s="691"/>
      <c r="N6" s="691"/>
      <c r="O6" s="691"/>
      <c r="P6" s="692"/>
      <c r="Q6" s="265" t="s">
        <v>513</v>
      </c>
      <c r="R6" s="682" t="str">
        <f>IFERROR(VLOOKUP(3,非表示_出力帳票へのリンク!$A$2:$P$100,'C 仕様表（仕様基準）'!AC5,FALSE),"")</f>
        <v/>
      </c>
      <c r="S6" s="683"/>
      <c r="T6" s="683"/>
      <c r="U6" s="683"/>
      <c r="V6" s="683"/>
      <c r="W6" s="683"/>
      <c r="X6" s="683"/>
      <c r="Y6" s="684"/>
    </row>
    <row r="7" spans="1:29" ht="27.75" customHeight="1">
      <c r="A7" s="254">
        <v>27</v>
      </c>
      <c r="C7" s="616" t="s">
        <v>512</v>
      </c>
      <c r="D7" s="680"/>
      <c r="E7" s="617"/>
      <c r="F7" s="685" t="str">
        <f>IFERROR(VLOOKUP(4,非表示_出力帳票へのリンク!$A$2:$P$100,'C 仕様表（仕様基準）'!AC5,FALSE),"")</f>
        <v/>
      </c>
      <c r="G7" s="686"/>
      <c r="H7" s="686"/>
      <c r="I7" s="686"/>
      <c r="J7" s="687"/>
      <c r="K7" s="266" t="s">
        <v>511</v>
      </c>
      <c r="L7" s="685" t="str">
        <f>IFERROR(VLOOKUP(5,非表示_出力帳票へのリンク!$A$2:$P$100,'C 仕様表（仕様基準）'!AC5,FALSE),"")</f>
        <v/>
      </c>
      <c r="M7" s="686"/>
      <c r="N7" s="686"/>
      <c r="O7" s="686"/>
      <c r="P7" s="687"/>
      <c r="Q7" s="283" t="s">
        <v>510</v>
      </c>
      <c r="R7" s="685" t="str">
        <f>IFERROR(VLOOKUP(6,非表示_出力帳票へのリンク!$A$2:$P$100,'C 仕様表（仕様基準）'!AC5,FALSE),"")</f>
        <v/>
      </c>
      <c r="S7" s="686"/>
      <c r="T7" s="686"/>
      <c r="U7" s="686"/>
      <c r="V7" s="686"/>
      <c r="W7" s="686"/>
      <c r="X7" s="686"/>
      <c r="Y7" s="687"/>
      <c r="Z7" s="261"/>
    </row>
    <row r="8" spans="1:29" ht="27.75" customHeight="1" thickBot="1">
      <c r="A8" s="254">
        <v>27</v>
      </c>
      <c r="C8" s="681" t="s">
        <v>508</v>
      </c>
      <c r="D8" s="569"/>
      <c r="E8" s="570"/>
      <c r="F8" s="693" t="str">
        <f>IFERROR(VLOOKUP(7,非表示_出力帳票へのリンク!$A$2:$P$100,'C 仕様表（仕様基準）'!AC5,FALSE),"")</f>
        <v/>
      </c>
      <c r="G8" s="622"/>
      <c r="H8" s="622"/>
      <c r="I8" s="622"/>
      <c r="J8" s="694"/>
      <c r="K8" s="429" t="s">
        <v>509</v>
      </c>
      <c r="L8" s="287" t="str">
        <f>IFERROR(VLOOKUP(8,非表示_出力帳票へのリンク!$A$2:$P$100,'C 仕様表（仕様基準）'!AC5,FALSE),"")</f>
        <v/>
      </c>
      <c r="M8" s="688" t="str">
        <f>IFERROR(VLOOKUP(9,非表示_出力帳票へのリンク!$A$2:$P$100,'C 仕様表（仕様基準）'!AC5,FALSE),"")</f>
        <v/>
      </c>
      <c r="N8" s="688"/>
      <c r="O8" s="688"/>
      <c r="P8" s="688"/>
      <c r="Q8" s="688"/>
      <c r="R8" s="688"/>
      <c r="S8" s="688"/>
      <c r="T8" s="688"/>
      <c r="U8" s="688"/>
      <c r="V8" s="688"/>
      <c r="W8" s="688"/>
      <c r="X8" s="688"/>
      <c r="Y8" s="689"/>
    </row>
    <row r="9" spans="1:29" ht="3" customHeight="1">
      <c r="A9" s="254">
        <v>6</v>
      </c>
    </row>
    <row r="10" spans="1:29" ht="30" customHeight="1" thickBot="1">
      <c r="A10" s="254">
        <v>30</v>
      </c>
      <c r="C10" s="262" t="s">
        <v>507</v>
      </c>
      <c r="U10" s="267"/>
      <c r="V10" s="267"/>
      <c r="W10" s="267"/>
      <c r="X10" s="267"/>
    </row>
    <row r="11" spans="1:29" ht="15.95" customHeight="1">
      <c r="A11" s="254">
        <v>16</v>
      </c>
      <c r="C11" s="587" t="s">
        <v>3915</v>
      </c>
      <c r="D11" s="565"/>
      <c r="E11" s="565"/>
      <c r="F11" s="588"/>
      <c r="G11" s="587" t="s">
        <v>20</v>
      </c>
      <c r="H11" s="566" t="s">
        <v>506</v>
      </c>
      <c r="I11" s="567"/>
      <c r="J11" s="567"/>
      <c r="K11" s="567"/>
      <c r="L11" s="567"/>
      <c r="M11" s="567"/>
      <c r="N11" s="636"/>
      <c r="O11" s="565" t="s">
        <v>3958</v>
      </c>
      <c r="P11" s="566"/>
      <c r="Q11" s="592" t="s">
        <v>232</v>
      </c>
      <c r="R11" s="593"/>
      <c r="S11" s="593"/>
      <c r="T11" s="593"/>
      <c r="U11" s="593"/>
      <c r="V11" s="593"/>
      <c r="W11" s="593"/>
      <c r="X11" s="593"/>
      <c r="Y11" s="637"/>
    </row>
    <row r="12" spans="1:29" ht="15.95" customHeight="1" thickBot="1">
      <c r="A12" s="254">
        <v>16</v>
      </c>
      <c r="C12" s="589"/>
      <c r="D12" s="590"/>
      <c r="E12" s="590"/>
      <c r="F12" s="591"/>
      <c r="G12" s="589"/>
      <c r="H12" s="568" t="s">
        <v>505</v>
      </c>
      <c r="I12" s="569"/>
      <c r="J12" s="569"/>
      <c r="K12" s="569"/>
      <c r="L12" s="569"/>
      <c r="M12" s="628"/>
      <c r="N12" s="268" t="s">
        <v>3959</v>
      </c>
      <c r="O12" s="268" t="s">
        <v>498</v>
      </c>
      <c r="P12" s="269" t="s">
        <v>497</v>
      </c>
      <c r="Q12" s="595"/>
      <c r="R12" s="596"/>
      <c r="S12" s="596"/>
      <c r="T12" s="596"/>
      <c r="U12" s="596"/>
      <c r="V12" s="596"/>
      <c r="W12" s="596"/>
      <c r="X12" s="596"/>
      <c r="Y12" s="638"/>
    </row>
    <row r="13" spans="1:29" ht="27.75" customHeight="1">
      <c r="A13" s="254">
        <v>27</v>
      </c>
      <c r="C13" s="555" t="s">
        <v>40</v>
      </c>
      <c r="D13" s="556"/>
      <c r="E13" s="556"/>
      <c r="F13" s="557"/>
      <c r="G13" s="270" t="str">
        <f>IFERROR(VLOOKUP(10,非表示_出力帳票へのリンク!$A$2:$P$100,'C 仕様表（仕様基準）'!AC5,FALSE),"")</f>
        <v/>
      </c>
      <c r="H13" s="629" t="str">
        <f>IFERROR(VLOOKUP(11,非表示_出力帳票へのリンク!$A$2:$P$100,'C 仕様表（仕様基準）'!AC5,FALSE),"")</f>
        <v/>
      </c>
      <c r="I13" s="629"/>
      <c r="J13" s="629"/>
      <c r="K13" s="629"/>
      <c r="L13" s="629"/>
      <c r="M13" s="629"/>
      <c r="N13" s="339" t="str">
        <f>IFERROR(VLOOKUP(12,非表示_出力帳票へのリンク!$A$2:$P$100,'C 仕様表（仕様基準）'!AC5,FALSE),"")</f>
        <v/>
      </c>
      <c r="O13" s="418" t="str">
        <f>IFERROR(VLOOKUP(13,非表示_出力帳票へのリンク!$A$2:$P$100,'C 仕様表（仕様基準）'!AC5,FALSE),"")</f>
        <v/>
      </c>
      <c r="P13" s="398" t="str">
        <f>IFERROR(VLOOKUP(14,非表示_出力帳票へのリンク!$A$2:$P$100,'C 仕様表（仕様基準）'!AC5,FALSE),"")</f>
        <v/>
      </c>
      <c r="Q13" s="630" t="str">
        <f>IFERROR(VLOOKUP(15,非表示_出力帳票へのリンク!$A$2:$P$100,'C 仕様表（仕様基準）'!AC5,FALSE),"")</f>
        <v/>
      </c>
      <c r="R13" s="631"/>
      <c r="S13" s="631"/>
      <c r="T13" s="631"/>
      <c r="U13" s="631"/>
      <c r="V13" s="631"/>
      <c r="W13" s="631"/>
      <c r="X13" s="631"/>
      <c r="Y13" s="632"/>
    </row>
    <row r="14" spans="1:29" ht="27.75" customHeight="1">
      <c r="A14" s="254">
        <v>27</v>
      </c>
      <c r="C14" s="574" t="s">
        <v>41</v>
      </c>
      <c r="D14" s="575"/>
      <c r="E14" s="575"/>
      <c r="F14" s="576"/>
      <c r="G14" s="273" t="str">
        <f>IFERROR(VLOOKUP(16,非表示_出力帳票へのリンク!$A$2:$P$100,'C 仕様表（仕様基準）'!AC5,FALSE),"")</f>
        <v/>
      </c>
      <c r="H14" s="633" t="str">
        <f>IFERROR(VLOOKUP(17,非表示_出力帳票へのリンク!$A$2:$P$100,'C 仕様表（仕様基準）'!AC5,FALSE),"")</f>
        <v/>
      </c>
      <c r="I14" s="634"/>
      <c r="J14" s="634"/>
      <c r="K14" s="634"/>
      <c r="L14" s="634"/>
      <c r="M14" s="635"/>
      <c r="N14" s="340" t="str">
        <f>IFERROR(VLOOKUP(18,非表示_出力帳票へのリンク!$A$2:$P$100,'C 仕様表（仕様基準）'!AC5,FALSE),"")</f>
        <v/>
      </c>
      <c r="O14" s="419" t="str">
        <f>IFERROR(VLOOKUP(19,非表示_出力帳票へのリンク!$A$2:$P$100,'C 仕様表（仕様基準）'!AC5,FALSE),"")</f>
        <v/>
      </c>
      <c r="P14" s="391" t="str">
        <f>IFERROR(VLOOKUP(20,非表示_出力帳票へのリンク!$A$2:$P$100,'C 仕様表（仕様基準）'!AC5,FALSE),"")</f>
        <v/>
      </c>
      <c r="Q14" s="618" t="str">
        <f>IFERROR(VLOOKUP(21,非表示_出力帳票へのリンク!$A$2:$P$100,'C 仕様表（仕様基準）'!AC5,FALSE),"")</f>
        <v/>
      </c>
      <c r="R14" s="619"/>
      <c r="S14" s="619"/>
      <c r="T14" s="619"/>
      <c r="U14" s="619"/>
      <c r="V14" s="619"/>
      <c r="W14" s="619"/>
      <c r="X14" s="619"/>
      <c r="Y14" s="620"/>
    </row>
    <row r="15" spans="1:29" ht="27.75" customHeight="1">
      <c r="A15" s="254">
        <v>27</v>
      </c>
      <c r="C15" s="574" t="s">
        <v>504</v>
      </c>
      <c r="D15" s="575"/>
      <c r="E15" s="575"/>
      <c r="F15" s="576"/>
      <c r="G15" s="273" t="str">
        <f>IFERROR(VLOOKUP(22,非表示_出力帳票へのリンク!$A$2:$P$100,'C 仕様表（仕様基準）'!AC5,FALSE),"")</f>
        <v/>
      </c>
      <c r="H15" s="633" t="str">
        <f>IFERROR(VLOOKUP(23,非表示_出力帳票へのリンク!$A$2:$P$100,'C 仕様表（仕様基準）'!AC5,FALSE),"")</f>
        <v/>
      </c>
      <c r="I15" s="634"/>
      <c r="J15" s="634"/>
      <c r="K15" s="634"/>
      <c r="L15" s="634"/>
      <c r="M15" s="635"/>
      <c r="N15" s="340" t="str">
        <f>IFERROR(VLOOKUP(24,非表示_出力帳票へのリンク!$A$2:$P$100,'C 仕様表（仕様基準）'!AC5,FALSE),"")</f>
        <v/>
      </c>
      <c r="O15" s="419" t="str">
        <f>IFERROR(VLOOKUP(25,非表示_出力帳票へのリンク!$A$2:$P$100,'C 仕様表（仕様基準）'!AC5,FALSE),"")</f>
        <v/>
      </c>
      <c r="P15" s="391" t="str">
        <f>IFERROR(VLOOKUP(26,非表示_出力帳票へのリンク!$A$2:$P$100,'C 仕様表（仕様基準）'!AC5,FALSE),"")</f>
        <v/>
      </c>
      <c r="Q15" s="618" t="str">
        <f>IFERROR(VLOOKUP(27,非表示_出力帳票へのリンク!$A$2:$P$100,'C 仕様表（仕様基準）'!AC5,FALSE),"")</f>
        <v/>
      </c>
      <c r="R15" s="619"/>
      <c r="S15" s="619"/>
      <c r="T15" s="619"/>
      <c r="U15" s="619"/>
      <c r="V15" s="619"/>
      <c r="W15" s="619"/>
      <c r="X15" s="619"/>
      <c r="Y15" s="620"/>
    </row>
    <row r="16" spans="1:29" ht="27.75" customHeight="1">
      <c r="A16" s="254">
        <v>27</v>
      </c>
      <c r="C16" s="574" t="s">
        <v>42</v>
      </c>
      <c r="D16" s="575"/>
      <c r="E16" s="645" t="s">
        <v>503</v>
      </c>
      <c r="F16" s="578"/>
      <c r="G16" s="273" t="str">
        <f>IFERROR(VLOOKUP(28,非表示_出力帳票へのリンク!$A$2:$P$100,'C 仕様表（仕様基準）'!AC5,FALSE),"")</f>
        <v/>
      </c>
      <c r="H16" s="633" t="str">
        <f>IFERROR(VLOOKUP(29,非表示_出力帳票へのリンク!$A$2:$P$100,'C 仕様表（仕様基準）'!AC5,FALSE),"")</f>
        <v/>
      </c>
      <c r="I16" s="634"/>
      <c r="J16" s="634"/>
      <c r="K16" s="634"/>
      <c r="L16" s="634"/>
      <c r="M16" s="635"/>
      <c r="N16" s="340" t="str">
        <f>IFERROR(VLOOKUP(30,非表示_出力帳票へのリンク!$A$2:$P$100,'C 仕様表（仕様基準）'!AC5,FALSE),"")</f>
        <v/>
      </c>
      <c r="O16" s="419" t="str">
        <f>IFERROR(VLOOKUP(31,非表示_出力帳票へのリンク!$A$2:$P$100,'C 仕様表（仕様基準）'!AC5,FALSE),"")</f>
        <v/>
      </c>
      <c r="P16" s="391" t="str">
        <f>IFERROR(VLOOKUP(32,非表示_出力帳票へのリンク!$A$2:$P$100,'C 仕様表（仕様基準）'!AC5,FALSE),"")</f>
        <v/>
      </c>
      <c r="Q16" s="618" t="str">
        <f>IFERROR(VLOOKUP(33,非表示_出力帳票へのリンク!$A$2:$P$100,'C 仕様表（仕様基準）'!AC5,FALSE),"")</f>
        <v/>
      </c>
      <c r="R16" s="619"/>
      <c r="S16" s="619"/>
      <c r="T16" s="619"/>
      <c r="U16" s="619"/>
      <c r="V16" s="619"/>
      <c r="W16" s="619"/>
      <c r="X16" s="619"/>
      <c r="Y16" s="620"/>
    </row>
    <row r="17" spans="1:25" ht="27.75" customHeight="1">
      <c r="A17" s="254">
        <v>27</v>
      </c>
      <c r="C17" s="574"/>
      <c r="D17" s="575"/>
      <c r="E17" s="645" t="s">
        <v>43</v>
      </c>
      <c r="F17" s="578"/>
      <c r="G17" s="273" t="str">
        <f>IFERROR(VLOOKUP(34,非表示_出力帳票へのリンク!$A$2:$P$100,'C 仕様表（仕様基準）'!AC5,FALSE),"")</f>
        <v/>
      </c>
      <c r="H17" s="633" t="str">
        <f>IFERROR(VLOOKUP(35,非表示_出力帳票へのリンク!$A$2:$P$100,'C 仕様表（仕様基準）'!AC5,FALSE),"")</f>
        <v/>
      </c>
      <c r="I17" s="634"/>
      <c r="J17" s="634"/>
      <c r="K17" s="634"/>
      <c r="L17" s="634"/>
      <c r="M17" s="635"/>
      <c r="N17" s="340" t="str">
        <f>IFERROR(VLOOKUP(36,非表示_出力帳票へのリンク!$A$2:$P$100,'C 仕様表（仕様基準）'!AC5,FALSE),"")</f>
        <v/>
      </c>
      <c r="O17" s="419" t="str">
        <f>IFERROR(VLOOKUP(37,非表示_出力帳票へのリンク!$A$2:$P$100,'C 仕様表（仕様基準）'!AC5,FALSE),"")</f>
        <v/>
      </c>
      <c r="P17" s="391" t="str">
        <f>IFERROR(VLOOKUP(38,非表示_出力帳票へのリンク!$A$2:$P$100,'C 仕様表（仕様基準）'!AC5,FALSE),"")</f>
        <v/>
      </c>
      <c r="Q17" s="618" t="str">
        <f>IFERROR(VLOOKUP(39,非表示_出力帳票へのリンク!$A$2:$P$100,'C 仕様表（仕様基準）'!AC5,FALSE),"")</f>
        <v/>
      </c>
      <c r="R17" s="619"/>
      <c r="S17" s="619"/>
      <c r="T17" s="619"/>
      <c r="U17" s="619"/>
      <c r="V17" s="619"/>
      <c r="W17" s="619"/>
      <c r="X17" s="619"/>
      <c r="Y17" s="620"/>
    </row>
    <row r="18" spans="1:25" ht="27.75" customHeight="1">
      <c r="A18" s="254">
        <v>27</v>
      </c>
      <c r="C18" s="641" t="s">
        <v>4091</v>
      </c>
      <c r="D18" s="642"/>
      <c r="E18" s="645" t="s">
        <v>503</v>
      </c>
      <c r="F18" s="578"/>
      <c r="G18" s="274"/>
      <c r="H18" s="633" t="str">
        <f>IFERROR(VLOOKUP(40,非表示_出力帳票へのリンク!$A$2:$P$100,'C 仕様表（仕様基準）'!AC5,FALSE),"")</f>
        <v/>
      </c>
      <c r="I18" s="634"/>
      <c r="J18" s="634"/>
      <c r="K18" s="634"/>
      <c r="L18" s="634"/>
      <c r="M18" s="635"/>
      <c r="N18" s="340" t="str">
        <f>IFERROR(VLOOKUP(41,非表示_出力帳票へのリンク!$A$2:$P$100,'C 仕様表（仕様基準）'!AC5,FALSE),"")</f>
        <v/>
      </c>
      <c r="O18" s="419" t="str">
        <f>IFERROR(VLOOKUP(42,非表示_出力帳票へのリンク!$A$2:$P$100,'C 仕様表（仕様基準）'!AC5,FALSE),"")</f>
        <v/>
      </c>
      <c r="P18" s="391" t="str">
        <f>IFERROR(VLOOKUP(43,非表示_出力帳票へのリンク!$A$2:$P$100,'C 仕様表（仕様基準）'!AC5,FALSE),"")</f>
        <v/>
      </c>
      <c r="Q18" s="618" t="str">
        <f>IFERROR(VLOOKUP(44,非表示_出力帳票へのリンク!$A$2:$P$100,'C 仕様表（仕様基準）'!AC5,FALSE),"")</f>
        <v/>
      </c>
      <c r="R18" s="619"/>
      <c r="S18" s="619"/>
      <c r="T18" s="619"/>
      <c r="U18" s="619"/>
      <c r="V18" s="619"/>
      <c r="W18" s="619"/>
      <c r="X18" s="619"/>
      <c r="Y18" s="620"/>
    </row>
    <row r="19" spans="1:25" ht="27.75" customHeight="1" thickBot="1">
      <c r="A19" s="254">
        <v>27</v>
      </c>
      <c r="C19" s="643"/>
      <c r="D19" s="644"/>
      <c r="E19" s="590" t="s">
        <v>43</v>
      </c>
      <c r="F19" s="591"/>
      <c r="G19" s="275"/>
      <c r="H19" s="646" t="str">
        <f>IFERROR(VLOOKUP(45,非表示_出力帳票へのリンク!$A$2:$P$100,'C 仕様表（仕様基準）'!AC5,FALSE),"")</f>
        <v/>
      </c>
      <c r="I19" s="647"/>
      <c r="J19" s="647"/>
      <c r="K19" s="647"/>
      <c r="L19" s="647"/>
      <c r="M19" s="648"/>
      <c r="N19" s="341" t="str">
        <f>IFERROR(VLOOKUP(46,非表示_出力帳票へのリンク!$A$2:$P$100,'C 仕様表（仕様基準）'!AC5,FALSE),"")</f>
        <v/>
      </c>
      <c r="O19" s="420" t="str">
        <f>IFERROR(VLOOKUP(47,非表示_出力帳票へのリンク!$A$2:$P$100,'C 仕様表（仕様基準）'!AC5,FALSE),"")</f>
        <v/>
      </c>
      <c r="P19" s="392" t="str">
        <f>IFERROR(VLOOKUP(48,非表示_出力帳票へのリンク!$A$2:$P$100,'C 仕様表（仕様基準）'!AC5,FALSE),"")</f>
        <v/>
      </c>
      <c r="Q19" s="613" t="str">
        <f>IFERROR(VLOOKUP(49,非表示_出力帳票へのリンク!$A$2:$P$100,'C 仕様表（仕様基準）'!AC5,FALSE),"")</f>
        <v/>
      </c>
      <c r="R19" s="614"/>
      <c r="S19" s="614"/>
      <c r="T19" s="614"/>
      <c r="U19" s="614"/>
      <c r="V19" s="614"/>
      <c r="W19" s="614"/>
      <c r="X19" s="614"/>
      <c r="Y19" s="615"/>
    </row>
    <row r="20" spans="1:25" ht="3" customHeight="1">
      <c r="A20" s="254">
        <v>6</v>
      </c>
    </row>
    <row r="21" spans="1:25" ht="30" customHeight="1" thickBot="1">
      <c r="A21" s="254">
        <v>30</v>
      </c>
      <c r="C21" s="262" t="s">
        <v>502</v>
      </c>
      <c r="D21" s="271"/>
      <c r="E21" s="271"/>
      <c r="F21" s="271"/>
      <c r="G21" s="271"/>
      <c r="H21" s="271"/>
      <c r="I21" s="271"/>
      <c r="J21" s="271"/>
      <c r="K21" s="271"/>
      <c r="L21" s="271"/>
      <c r="M21" s="271"/>
      <c r="N21" s="271"/>
      <c r="O21" s="271"/>
      <c r="P21" s="271"/>
      <c r="Q21" s="271"/>
      <c r="R21" s="271"/>
      <c r="S21" s="271"/>
      <c r="U21" s="267"/>
      <c r="V21" s="267"/>
      <c r="W21" s="267"/>
      <c r="X21" s="267"/>
    </row>
    <row r="22" spans="1:25" ht="15.95" customHeight="1">
      <c r="A22" s="254">
        <v>16</v>
      </c>
      <c r="C22" s="587" t="s">
        <v>3960</v>
      </c>
      <c r="D22" s="565"/>
      <c r="E22" s="565"/>
      <c r="F22" s="588"/>
      <c r="G22" s="667" t="s">
        <v>233</v>
      </c>
      <c r="H22" s="593"/>
      <c r="I22" s="594"/>
      <c r="J22" s="565" t="s">
        <v>501</v>
      </c>
      <c r="K22" s="565"/>
      <c r="L22" s="565" t="s">
        <v>314</v>
      </c>
      <c r="M22" s="565"/>
      <c r="N22" s="565"/>
      <c r="O22" s="669" t="s">
        <v>3961</v>
      </c>
      <c r="P22" s="565" t="s">
        <v>3962</v>
      </c>
      <c r="Q22" s="565"/>
      <c r="R22" s="565" t="s">
        <v>3963</v>
      </c>
      <c r="S22" s="566"/>
      <c r="T22" s="566" t="s">
        <v>232</v>
      </c>
      <c r="U22" s="567"/>
      <c r="V22" s="567"/>
      <c r="W22" s="567"/>
      <c r="X22" s="567"/>
      <c r="Y22" s="559"/>
    </row>
    <row r="23" spans="1:25" ht="15.95" customHeight="1" thickBot="1">
      <c r="A23" s="254">
        <v>16</v>
      </c>
      <c r="C23" s="589"/>
      <c r="D23" s="590"/>
      <c r="E23" s="590"/>
      <c r="F23" s="591"/>
      <c r="G23" s="668"/>
      <c r="H23" s="596"/>
      <c r="I23" s="597"/>
      <c r="J23" s="590"/>
      <c r="K23" s="590"/>
      <c r="L23" s="590"/>
      <c r="M23" s="590"/>
      <c r="N23" s="590"/>
      <c r="O23" s="590"/>
      <c r="P23" s="268" t="s">
        <v>498</v>
      </c>
      <c r="Q23" s="268" t="s">
        <v>497</v>
      </c>
      <c r="R23" s="268" t="s">
        <v>498</v>
      </c>
      <c r="S23" s="269" t="s">
        <v>497</v>
      </c>
      <c r="T23" s="568"/>
      <c r="U23" s="569"/>
      <c r="V23" s="569"/>
      <c r="W23" s="569"/>
      <c r="X23" s="569"/>
      <c r="Y23" s="570"/>
    </row>
    <row r="24" spans="1:25" ht="35.25" customHeight="1">
      <c r="A24" s="254">
        <v>33</v>
      </c>
      <c r="C24" s="649" t="s">
        <v>18</v>
      </c>
      <c r="D24" s="272" t="s">
        <v>3989</v>
      </c>
      <c r="E24" s="674"/>
      <c r="F24" s="675"/>
      <c r="G24" s="676" t="str">
        <f>IFERROR(VLOOKUP(50,非表示_出力帳票へのリンク!$A$2:$P$100,'C 仕様表（仕様基準）'!AC5,FALSE),"")</f>
        <v/>
      </c>
      <c r="H24" s="677"/>
      <c r="I24" s="678"/>
      <c r="J24" s="679" t="str">
        <f>IFERROR(VLOOKUP(51,非表示_出力帳票へのリンク!$A$2:$P$100,'C 仕様表（仕様基準）'!AC5,FALSE),"")</f>
        <v/>
      </c>
      <c r="K24" s="678"/>
      <c r="L24" s="679" t="str">
        <f>IFERROR(VLOOKUP(52,非表示_出力帳票へのリンク!$A$2:$P$100,'C 仕様表（仕様基準）'!AC5,FALSE),"")</f>
        <v/>
      </c>
      <c r="M24" s="677"/>
      <c r="N24" s="678"/>
      <c r="O24" s="333"/>
      <c r="P24" s="393" t="str">
        <f>IFERROR(VLOOKUP(54,非表示_出力帳票へのリンク!$A$2:$P$100,'C 仕様表（仕様基準）'!AC5,FALSE),"")</f>
        <v/>
      </c>
      <c r="Q24" s="393" t="str">
        <f>IFERROR(VLOOKUP(55,非表示_出力帳票へのリンク!$A$2:$P$100,'C 仕様表（仕様基準）'!AC5,FALSE),"")</f>
        <v/>
      </c>
      <c r="R24" s="333"/>
      <c r="S24" s="334"/>
      <c r="T24" s="562" t="str">
        <f>IFERROR(VLOOKUP(56,非表示_出力帳票へのリンク!$A$2:$P$100,'C 仕様表（仕様基準）'!AC5,FALSE),"")</f>
        <v/>
      </c>
      <c r="U24" s="563"/>
      <c r="V24" s="563"/>
      <c r="W24" s="563"/>
      <c r="X24" s="563"/>
      <c r="Y24" s="564"/>
    </row>
    <row r="25" spans="1:25" ht="35.25" customHeight="1">
      <c r="A25" s="254">
        <v>33</v>
      </c>
      <c r="C25" s="574"/>
      <c r="D25" s="639" t="s">
        <v>3990</v>
      </c>
      <c r="E25" s="665" t="s">
        <v>4009</v>
      </c>
      <c r="F25" s="666"/>
      <c r="G25" s="670" t="str">
        <f>IFERROR(IF(AB5=8,"－",VLOOKUP(57,非表示_出力帳票へのリンク!$A$2:$P$100,'C 仕様表（仕様基準）'!AC5,FALSE)),"")</f>
        <v/>
      </c>
      <c r="H25" s="671"/>
      <c r="I25" s="672"/>
      <c r="J25" s="673" t="str">
        <f>IFERROR(IF(AB5=8,"－",VLOOKUP(58,非表示_出力帳票へのリンク!$A$2:$P$100,'C 仕様表（仕様基準）'!AC5,FALSE)),"")</f>
        <v/>
      </c>
      <c r="K25" s="672"/>
      <c r="L25" s="673" t="str">
        <f>IFERROR(IF(AB5=8,"－",VLOOKUP(59,非表示_出力帳票へのリンク!$A$2:$P$100,'C 仕様表（仕様基準）'!AC5,FALSE)),"")</f>
        <v/>
      </c>
      <c r="M25" s="671"/>
      <c r="N25" s="672"/>
      <c r="O25" s="342"/>
      <c r="P25" s="391" t="str">
        <f>IFERROR(IF(AB5=8,"－",VLOOKUP(61,非表示_出力帳票へのリンク!$A$2:$P$100,'C 仕様表（仕様基準）'!AC5,FALSE)),"")</f>
        <v/>
      </c>
      <c r="Q25" s="391" t="str">
        <f>IFERROR(IF(AB5=8,"－",VLOOKUP(62,非表示_出力帳票へのリンク!$A$2:$P$100,'C 仕様表（仕様基準）'!AC5,FALSE)),"")</f>
        <v/>
      </c>
      <c r="R25" s="335"/>
      <c r="S25" s="335"/>
      <c r="T25" s="618" t="str">
        <f>IFERROR(VLOOKUP(63,非表示_出力帳票へのリンク!$A$2:$P$100,'C 仕様表（仕様基準）'!AC5,FALSE),"")</f>
        <v/>
      </c>
      <c r="U25" s="619"/>
      <c r="V25" s="619"/>
      <c r="W25" s="619"/>
      <c r="X25" s="619"/>
      <c r="Y25" s="620"/>
    </row>
    <row r="26" spans="1:25" ht="35.25" customHeight="1">
      <c r="A26" s="254">
        <v>33</v>
      </c>
      <c r="C26" s="650"/>
      <c r="D26" s="640"/>
      <c r="E26" s="663" t="s">
        <v>4010</v>
      </c>
      <c r="F26" s="280" t="s">
        <v>4011</v>
      </c>
      <c r="G26" s="659" t="str">
        <f>IFERROR(IF(AB5=8,"－",VLOOKUP(64,非表示_出力帳票へのリンク!$A$2:$P$100,'C 仕様表（仕様基準）'!AC5,FALSE)),"")</f>
        <v/>
      </c>
      <c r="H26" s="660"/>
      <c r="I26" s="661"/>
      <c r="J26" s="662" t="str">
        <f>IFERROR(IF(AB5=8,"－",VLOOKUP(65,非表示_出力帳票へのリンク!$A$2:$P$100,'C 仕様表（仕様基準）'!AC5,FALSE)),"")</f>
        <v/>
      </c>
      <c r="K26" s="661"/>
      <c r="L26" s="662" t="str">
        <f>IFERROR(IF(AB5=8,"－",VLOOKUP(66,非表示_出力帳票へのリンク!$A$2:$P$100,'C 仕様表（仕様基準）'!AC5,FALSE)),"")</f>
        <v/>
      </c>
      <c r="M26" s="660"/>
      <c r="N26" s="661"/>
      <c r="O26" s="337" t="str">
        <f>IFERROR(IF(AB5=8,"－",VLOOKUP(67,非表示_出力帳票へのリンク!$A$2:$P$100,'C 仕様表（仕様基準）'!AC5,FALSE)),"")</f>
        <v/>
      </c>
      <c r="P26" s="394" t="str">
        <f>IFERROR(IF(AB5=8,"－",VLOOKUP(68,非表示_出力帳票へのリンク!$A$2:$P$100,'C 仕様表（仕様基準）'!AC5,FALSE)),"")</f>
        <v/>
      </c>
      <c r="Q26" s="394" t="str">
        <f>IFERROR(IF(AB5=8,"－",VLOOKUP(69,非表示_出力帳票へのリンク!$A$2:$P$100,'C 仕様表（仕様基準）'!AC5,FALSE)),"")</f>
        <v/>
      </c>
      <c r="R26" s="336" t="str">
        <f>IFERROR(IF(AB5=8,"－",VLOOKUP(70,非表示_出力帳票へのリンク!$A$2:$P$100,'C 仕様表（仕様基準）'!AC5,FALSE)),"")</f>
        <v/>
      </c>
      <c r="S26" s="395" t="str">
        <f>IFERROR(IF(AB5=8,"－",VLOOKUP(71,非表示_出力帳票へのリンク!$A$2:$P$100,'C 仕様表（仕様基準）'!AC5,FALSE)),"")</f>
        <v/>
      </c>
      <c r="T26" s="656" t="str">
        <f>IFERROR(IF(AB5=8,"－",VLOOKUP(72,非表示_出力帳票へのリンク!$A$2:$P$100,'C 仕様表（仕様基準）'!AC5,FALSE)),"")</f>
        <v/>
      </c>
      <c r="U26" s="657"/>
      <c r="V26" s="657"/>
      <c r="W26" s="657"/>
      <c r="X26" s="657"/>
      <c r="Y26" s="658"/>
    </row>
    <row r="27" spans="1:25" ht="35.25" customHeight="1" thickBot="1">
      <c r="A27" s="254">
        <v>33</v>
      </c>
      <c r="C27" s="651"/>
      <c r="D27" s="590"/>
      <c r="E27" s="664"/>
      <c r="F27" s="432" t="s">
        <v>4299</v>
      </c>
      <c r="G27" s="652" t="str">
        <f>IFERROR(VLOOKUP(73,非表示_出力帳票へのリンク!$A$2:$P$100,'C 仕様表（仕様基準）'!AC5,FALSE),"")</f>
        <v/>
      </c>
      <c r="H27" s="653"/>
      <c r="I27" s="654"/>
      <c r="J27" s="655" t="str">
        <f>IFERROR(VLOOKUP(74,非表示_出力帳票へのリンク!$A$2:$P$100,'C 仕様表（仕様基準）'!AC5,FALSE),"")</f>
        <v/>
      </c>
      <c r="K27" s="654"/>
      <c r="L27" s="655" t="str">
        <f>IFERROR(VLOOKUP(75,非表示_出力帳票へのリンク!$A$2:$P$100,'C 仕様表（仕様基準）'!AC5,FALSE),"")</f>
        <v/>
      </c>
      <c r="M27" s="653"/>
      <c r="N27" s="654"/>
      <c r="O27" s="332" t="str">
        <f>IFERROR(VLOOKUP(76,非表示_出力帳票へのリンク!$A$2:$P$100,'C 仕様表（仕様基準）'!AC5,FALSE),"")</f>
        <v/>
      </c>
      <c r="P27" s="392" t="str">
        <f>IFERROR(VLOOKUP(77,非表示_出力帳票へのリンク!$A$2:$P$100,'C 仕様表（仕様基準）'!AC5,FALSE),"")</f>
        <v/>
      </c>
      <c r="Q27" s="392" t="str">
        <f>IFERROR(VLOOKUP(78,非表示_出力帳票へのリンク!$A$2:$P$100,'C 仕様表（仕様基準）'!AC5,FALSE),"")</f>
        <v/>
      </c>
      <c r="R27" s="338" t="str">
        <f>IFERROR(VLOOKUP(79,非表示_出力帳票へのリンク!$A$2:$P$100,'C 仕様表（仕様基準）'!AC5,FALSE),"")</f>
        <v/>
      </c>
      <c r="S27" s="396" t="str">
        <f>IFERROR(VLOOKUP(80,非表示_出力帳票へのリンク!$A$2:$P$100,'C 仕様表（仕様基準）'!AC5,FALSE),"")</f>
        <v/>
      </c>
      <c r="T27" s="613" t="str">
        <f>IFERROR(VLOOKUP(81,非表示_出力帳票へのリンク!$A$2:$P$100,'C 仕様表（仕様基準）'!AC5,FALSE),"")</f>
        <v/>
      </c>
      <c r="U27" s="614"/>
      <c r="V27" s="614"/>
      <c r="W27" s="614"/>
      <c r="X27" s="614"/>
      <c r="Y27" s="615"/>
    </row>
    <row r="28" spans="1:25" ht="3" customHeight="1">
      <c r="A28" s="254">
        <v>6</v>
      </c>
    </row>
    <row r="29" spans="1:25" ht="30" customHeight="1" thickBot="1">
      <c r="A29" s="254">
        <v>30</v>
      </c>
      <c r="C29" s="262" t="s">
        <v>500</v>
      </c>
      <c r="D29" s="271"/>
      <c r="E29" s="271"/>
      <c r="F29" s="271"/>
      <c r="G29" s="271"/>
      <c r="H29" s="271"/>
      <c r="I29" s="271"/>
      <c r="J29" s="271"/>
      <c r="K29" s="271"/>
      <c r="L29" s="271"/>
      <c r="M29" s="271"/>
      <c r="N29" s="271"/>
      <c r="O29" s="271"/>
      <c r="P29" s="271"/>
      <c r="Q29" s="271"/>
      <c r="R29" s="271"/>
      <c r="S29" s="271"/>
      <c r="U29" s="267"/>
      <c r="V29" s="267"/>
      <c r="W29" s="267"/>
      <c r="X29" s="267"/>
    </row>
    <row r="30" spans="1:25" ht="15.95" customHeight="1">
      <c r="A30" s="254">
        <v>16</v>
      </c>
      <c r="C30" s="587" t="s">
        <v>3915</v>
      </c>
      <c r="D30" s="565"/>
      <c r="E30" s="565"/>
      <c r="F30" s="588"/>
      <c r="G30" s="587" t="s">
        <v>235</v>
      </c>
      <c r="H30" s="565"/>
      <c r="I30" s="592" t="s">
        <v>391</v>
      </c>
      <c r="J30" s="593"/>
      <c r="K30" s="594"/>
      <c r="L30" s="592" t="s">
        <v>499</v>
      </c>
      <c r="M30" s="593"/>
      <c r="N30" s="593"/>
      <c r="O30" s="593"/>
      <c r="P30" s="593"/>
      <c r="Q30" s="594"/>
      <c r="R30" s="565" t="s">
        <v>3964</v>
      </c>
      <c r="S30" s="566"/>
      <c r="T30" s="566" t="s">
        <v>232</v>
      </c>
      <c r="U30" s="567"/>
      <c r="V30" s="567"/>
      <c r="W30" s="567"/>
      <c r="X30" s="567"/>
      <c r="Y30" s="559"/>
    </row>
    <row r="31" spans="1:25" ht="15.95" customHeight="1" thickBot="1">
      <c r="A31" s="254">
        <v>16</v>
      </c>
      <c r="C31" s="589"/>
      <c r="D31" s="590"/>
      <c r="E31" s="590"/>
      <c r="F31" s="591"/>
      <c r="G31" s="589"/>
      <c r="H31" s="590"/>
      <c r="I31" s="595"/>
      <c r="J31" s="596"/>
      <c r="K31" s="597"/>
      <c r="L31" s="595"/>
      <c r="M31" s="596"/>
      <c r="N31" s="596"/>
      <c r="O31" s="596"/>
      <c r="P31" s="596"/>
      <c r="Q31" s="597"/>
      <c r="R31" s="268" t="s">
        <v>498</v>
      </c>
      <c r="S31" s="269" t="s">
        <v>497</v>
      </c>
      <c r="T31" s="568"/>
      <c r="U31" s="569"/>
      <c r="V31" s="569"/>
      <c r="W31" s="569"/>
      <c r="X31" s="569"/>
      <c r="Y31" s="570"/>
    </row>
    <row r="32" spans="1:25" ht="33" customHeight="1" thickBot="1">
      <c r="A32" s="254">
        <v>33</v>
      </c>
      <c r="C32" s="571" t="s">
        <v>19</v>
      </c>
      <c r="D32" s="572"/>
      <c r="E32" s="572"/>
      <c r="F32" s="573"/>
      <c r="G32" s="579" t="str">
        <f>IFERROR(VLOOKUP(82,非表示_出力帳票へのリンク!$A$2:$P$100,'C 仕様表（仕様基準）'!AC5,FALSE),"")</f>
        <v/>
      </c>
      <c r="H32" s="580"/>
      <c r="I32" s="581" t="str">
        <f>IFERROR(VLOOKUP(83,非表示_出力帳票へのリンク!$A$2:$P$100,'C 仕様表（仕様基準）'!AC5,FALSE),"")</f>
        <v/>
      </c>
      <c r="J32" s="582"/>
      <c r="K32" s="583"/>
      <c r="L32" s="581" t="str">
        <f>IFERROR(VLOOKUP(84,非表示_出力帳票へのリンク!$A$2:$P$100,'C 仕様表（仕様基準）'!AC5,FALSE),"")</f>
        <v/>
      </c>
      <c r="M32" s="582"/>
      <c r="N32" s="582"/>
      <c r="O32" s="582"/>
      <c r="P32" s="582"/>
      <c r="Q32" s="583"/>
      <c r="R32" s="392" t="str">
        <f>IFERROR(VLOOKUP(85,非表示_出力帳票へのリンク!$A$2:$P$100,'C 仕様表（仕様基準）'!AC5,FALSE),"")</f>
        <v/>
      </c>
      <c r="S32" s="331" t="str">
        <f>IFERROR(VLOOKUP(86,非表示_出力帳票へのリンク!$A$2:$P$100,'C 仕様表（仕様基準）'!AC5,FALSE),"")</f>
        <v/>
      </c>
      <c r="T32" s="584" t="str">
        <f>IFERROR(VLOOKUP(87,非表示_出力帳票へのリンク!$A$2:$P$100,'C 仕様表（仕様基準）'!AC5,FALSE),"")</f>
        <v/>
      </c>
      <c r="U32" s="585"/>
      <c r="V32" s="585"/>
      <c r="W32" s="585"/>
      <c r="X32" s="585"/>
      <c r="Y32" s="586"/>
    </row>
    <row r="33" spans="1:25" ht="3" customHeight="1">
      <c r="A33" s="254">
        <v>6</v>
      </c>
    </row>
    <row r="34" spans="1:25" ht="30" customHeight="1" thickBot="1">
      <c r="A34" s="254">
        <v>30</v>
      </c>
      <c r="C34" s="262" t="s">
        <v>496</v>
      </c>
      <c r="D34" s="271"/>
      <c r="E34" s="271"/>
      <c r="F34" s="271"/>
      <c r="G34" s="271"/>
      <c r="H34" s="271"/>
      <c r="I34" s="271"/>
      <c r="J34" s="271"/>
      <c r="K34" s="271"/>
      <c r="L34" s="271"/>
      <c r="M34" s="271"/>
      <c r="N34" s="271"/>
      <c r="O34" s="271"/>
      <c r="P34" s="271"/>
      <c r="Q34" s="271"/>
      <c r="R34" s="271"/>
      <c r="S34" s="271"/>
      <c r="U34" s="267"/>
      <c r="V34" s="267"/>
      <c r="W34" s="267"/>
      <c r="X34" s="267"/>
    </row>
    <row r="35" spans="1:25" ht="30" customHeight="1" thickBot="1">
      <c r="A35" s="254">
        <v>30</v>
      </c>
      <c r="C35" s="598" t="s">
        <v>3965</v>
      </c>
      <c r="D35" s="599"/>
      <c r="E35" s="599"/>
      <c r="F35" s="600"/>
      <c r="G35" s="601" t="s">
        <v>3966</v>
      </c>
      <c r="H35" s="602"/>
      <c r="I35" s="602"/>
      <c r="J35" s="602"/>
      <c r="K35" s="602"/>
      <c r="L35" s="602"/>
      <c r="M35" s="602"/>
      <c r="N35" s="602"/>
      <c r="O35" s="602"/>
      <c r="P35" s="602"/>
      <c r="Q35" s="602"/>
      <c r="R35" s="602"/>
      <c r="S35" s="603"/>
      <c r="T35" s="604" t="s">
        <v>3991</v>
      </c>
      <c r="U35" s="602"/>
      <c r="V35" s="602"/>
      <c r="W35" s="602"/>
      <c r="X35" s="602"/>
      <c r="Y35" s="605"/>
    </row>
    <row r="36" spans="1:25" ht="54" customHeight="1">
      <c r="A36" s="254">
        <v>27</v>
      </c>
      <c r="C36" s="555" t="s">
        <v>44</v>
      </c>
      <c r="D36" s="556"/>
      <c r="E36" s="556"/>
      <c r="F36" s="557"/>
      <c r="G36" s="558" t="s">
        <v>45</v>
      </c>
      <c r="H36" s="559"/>
      <c r="I36" s="560" t="str">
        <f>IFERROR(IF(AB5=8,"－",VLOOKUP(88,非表示_出力帳票へのリンク!$A$2:$P$100,'C 仕様表（仕様基準）'!AC5,FALSE)),"")</f>
        <v/>
      </c>
      <c r="J36" s="560"/>
      <c r="K36" s="561"/>
      <c r="L36" s="390" t="s">
        <v>4081</v>
      </c>
      <c r="M36" s="606" t="str">
        <f>IFERROR(IF(AB5=8,"－",VLOOKUP(89,非表示_出力帳票へのリンク!$A$2:$P$100,'C 仕様表（仕様基準）'!AC5,FALSE)),"")</f>
        <v/>
      </c>
      <c r="N36" s="607"/>
      <c r="O36" s="607"/>
      <c r="P36" s="607"/>
      <c r="Q36" s="607"/>
      <c r="R36" s="607"/>
      <c r="S36" s="607"/>
      <c r="T36" s="562" t="str">
        <f>IFERROR(IF(AB5=8,"－",VLOOKUP(90,非表示_出力帳票へのリンク!$A$2:$P$100,'C 仕様表（仕様基準）'!AC5,FALSE)),"")</f>
        <v/>
      </c>
      <c r="U36" s="563"/>
      <c r="V36" s="563"/>
      <c r="W36" s="563"/>
      <c r="X36" s="563"/>
      <c r="Y36" s="564"/>
    </row>
    <row r="37" spans="1:25" ht="54" customHeight="1">
      <c r="A37" s="254">
        <v>27</v>
      </c>
      <c r="C37" s="574" t="s">
        <v>46</v>
      </c>
      <c r="D37" s="575"/>
      <c r="E37" s="575"/>
      <c r="F37" s="576"/>
      <c r="G37" s="616" t="s">
        <v>495</v>
      </c>
      <c r="H37" s="617"/>
      <c r="I37" s="623" t="str">
        <f>IFERROR(VLOOKUP(91,非表示_出力帳票へのリンク!$A$2:$P$100,'C 仕様表（仕様基準）'!AC5,FALSE),"")</f>
        <v/>
      </c>
      <c r="J37" s="623"/>
      <c r="K37" s="627"/>
      <c r="L37" s="389" t="s">
        <v>4082</v>
      </c>
      <c r="M37" s="624" t="str">
        <f>IFERROR(VLOOKUP(92,非表示_出力帳票へのリンク!$A$2:$P$100,'C 仕様表（仕様基準）'!AC5,FALSE),"")</f>
        <v/>
      </c>
      <c r="N37" s="625"/>
      <c r="O37" s="625"/>
      <c r="P37" s="625"/>
      <c r="Q37" s="625"/>
      <c r="R37" s="625"/>
      <c r="S37" s="626"/>
      <c r="T37" s="618" t="str">
        <f>IFERROR(VLOOKUP(93,非表示_出力帳票へのリンク!$A$2:$P$100,'C 仕様表（仕様基準）'!AC5,FALSE),"")</f>
        <v/>
      </c>
      <c r="U37" s="619"/>
      <c r="V37" s="619"/>
      <c r="W37" s="619"/>
      <c r="X37" s="619"/>
      <c r="Y37" s="620"/>
    </row>
    <row r="38" spans="1:25" ht="35.25" customHeight="1">
      <c r="A38" s="254">
        <v>27</v>
      </c>
      <c r="C38" s="574" t="s">
        <v>47</v>
      </c>
      <c r="D38" s="575"/>
      <c r="E38" s="575"/>
      <c r="F38" s="576"/>
      <c r="G38" s="616" t="s">
        <v>48</v>
      </c>
      <c r="H38" s="617"/>
      <c r="I38" s="621" t="str">
        <f>IFERROR(VLOOKUP(94,非表示_出力帳票へのリンク!$A$2:$P$100,'C 仕様表（仕様基準）'!AC5,FALSE),"")</f>
        <v/>
      </c>
      <c r="J38" s="621"/>
      <c r="K38" s="621"/>
      <c r="L38" s="621"/>
      <c r="M38" s="621"/>
      <c r="N38" s="621"/>
      <c r="O38" s="621"/>
      <c r="P38" s="621"/>
      <c r="Q38" s="621"/>
      <c r="R38" s="621"/>
      <c r="S38" s="621"/>
      <c r="T38" s="618" t="str">
        <f>IFERROR(VLOOKUP(95,非表示_出力帳票へのリンク!$A$2:$P$100,'C 仕様表（仕様基準）'!AC5,FALSE),"")</f>
        <v/>
      </c>
      <c r="U38" s="619"/>
      <c r="V38" s="619"/>
      <c r="W38" s="619"/>
      <c r="X38" s="619"/>
      <c r="Y38" s="620"/>
    </row>
    <row r="39" spans="1:25" ht="35.25" customHeight="1">
      <c r="A39" s="254">
        <v>27</v>
      </c>
      <c r="C39" s="574" t="s">
        <v>49</v>
      </c>
      <c r="D39" s="575"/>
      <c r="E39" s="575"/>
      <c r="F39" s="576"/>
      <c r="G39" s="577" t="s">
        <v>50</v>
      </c>
      <c r="H39" s="578"/>
      <c r="I39" s="623" t="str">
        <f>IFERROR(VLOOKUP(96,非表示_出力帳票へのリンク!$A$2:$P$100,'C 仕様表（仕様基準）'!AC5,FALSE),"")</f>
        <v/>
      </c>
      <c r="J39" s="623"/>
      <c r="K39" s="623"/>
      <c r="L39" s="623"/>
      <c r="M39" s="623"/>
      <c r="N39" s="623"/>
      <c r="O39" s="623"/>
      <c r="P39" s="623"/>
      <c r="Q39" s="623"/>
      <c r="R39" s="623"/>
      <c r="S39" s="623"/>
      <c r="T39" s="618" t="str">
        <f>IFERROR(VLOOKUP(97,非表示_出力帳票へのリンク!$A$2:$P$100,'C 仕様表（仕様基準）'!AC5,FALSE),"")</f>
        <v/>
      </c>
      <c r="U39" s="619"/>
      <c r="V39" s="619"/>
      <c r="W39" s="619"/>
      <c r="X39" s="619"/>
      <c r="Y39" s="620"/>
    </row>
    <row r="40" spans="1:25" ht="35.25" customHeight="1" thickBot="1">
      <c r="A40" s="254">
        <v>27</v>
      </c>
      <c r="C40" s="608" t="s">
        <v>3967</v>
      </c>
      <c r="D40" s="609"/>
      <c r="E40" s="609"/>
      <c r="F40" s="610"/>
      <c r="G40" s="611" t="s">
        <v>51</v>
      </c>
      <c r="H40" s="612"/>
      <c r="I40" s="622" t="str">
        <f>IFERROR(VLOOKUP(98,非表示_出力帳票へのリンク!$A$2:$P$100,'C 仕様表（仕様基準）'!AC5,FALSE),"")</f>
        <v/>
      </c>
      <c r="J40" s="622"/>
      <c r="K40" s="622"/>
      <c r="L40" s="622"/>
      <c r="M40" s="622"/>
      <c r="N40" s="622"/>
      <c r="O40" s="622"/>
      <c r="P40" s="622"/>
      <c r="Q40" s="622"/>
      <c r="R40" s="622"/>
      <c r="S40" s="580"/>
      <c r="T40" s="613" t="str">
        <f>IFERROR(VLOOKUP(99,非表示_出力帳票へのリンク!$A$2:$P$100,'C 仕様表（仕様基準）'!AC5,FALSE),"")</f>
        <v/>
      </c>
      <c r="U40" s="614"/>
      <c r="V40" s="614"/>
      <c r="W40" s="614"/>
      <c r="X40" s="614"/>
      <c r="Y40" s="615"/>
    </row>
    <row r="41" spans="1:25" ht="20.100000000000001" customHeight="1"/>
  </sheetData>
  <sheetProtection algorithmName="SHA-512" hashValue="qz3uB5oy62ueoW2lR5b5iD6eIYhYK8NCUoVxPL/b3ZTQiKDsRkqwnxrEBPSJcu4CxYt4TQMjoCaxcSTn1ugKkQ==" saltValue="5Ti0yXnK3o9wPD1+sWtUAg==" spinCount="100000" sheet="1" formatCells="0"/>
  <mergeCells count="105">
    <mergeCell ref="C6:E6"/>
    <mergeCell ref="C7:E7"/>
    <mergeCell ref="C8:E8"/>
    <mergeCell ref="R6:Y6"/>
    <mergeCell ref="R7:Y7"/>
    <mergeCell ref="M8:Y8"/>
    <mergeCell ref="L6:P6"/>
    <mergeCell ref="L7:P7"/>
    <mergeCell ref="F6:J6"/>
    <mergeCell ref="F7:J7"/>
    <mergeCell ref="F8:J8"/>
    <mergeCell ref="G22:I23"/>
    <mergeCell ref="J22:K23"/>
    <mergeCell ref="L22:N23"/>
    <mergeCell ref="O22:O23"/>
    <mergeCell ref="P22:Q22"/>
    <mergeCell ref="G25:I25"/>
    <mergeCell ref="J25:K25"/>
    <mergeCell ref="L25:N25"/>
    <mergeCell ref="E24:F24"/>
    <mergeCell ref="G24:I24"/>
    <mergeCell ref="J24:K24"/>
    <mergeCell ref="L24:N24"/>
    <mergeCell ref="C15:F15"/>
    <mergeCell ref="H15:M15"/>
    <mergeCell ref="Q15:Y15"/>
    <mergeCell ref="C16:D17"/>
    <mergeCell ref="E16:F16"/>
    <mergeCell ref="H16:M16"/>
    <mergeCell ref="Q16:Y16"/>
    <mergeCell ref="E17:F17"/>
    <mergeCell ref="H17:M17"/>
    <mergeCell ref="Q17:Y17"/>
    <mergeCell ref="T24:Y24"/>
    <mergeCell ref="D25:D27"/>
    <mergeCell ref="C18:D19"/>
    <mergeCell ref="E18:F18"/>
    <mergeCell ref="H18:M18"/>
    <mergeCell ref="Q18:Y18"/>
    <mergeCell ref="E19:F19"/>
    <mergeCell ref="H19:M19"/>
    <mergeCell ref="T27:Y27"/>
    <mergeCell ref="R22:S22"/>
    <mergeCell ref="T22:Y23"/>
    <mergeCell ref="C24:C27"/>
    <mergeCell ref="Q19:Y19"/>
    <mergeCell ref="T25:Y25"/>
    <mergeCell ref="G27:I27"/>
    <mergeCell ref="J27:K27"/>
    <mergeCell ref="L27:N27"/>
    <mergeCell ref="T26:Y26"/>
    <mergeCell ref="G26:I26"/>
    <mergeCell ref="J26:K26"/>
    <mergeCell ref="L26:N26"/>
    <mergeCell ref="E26:E27"/>
    <mergeCell ref="E25:F25"/>
    <mergeCell ref="C22:F23"/>
    <mergeCell ref="H12:M12"/>
    <mergeCell ref="C13:F13"/>
    <mergeCell ref="H13:M13"/>
    <mergeCell ref="Q13:Y13"/>
    <mergeCell ref="C14:F14"/>
    <mergeCell ref="H14:M14"/>
    <mergeCell ref="Q14:Y14"/>
    <mergeCell ref="C11:F12"/>
    <mergeCell ref="G11:G12"/>
    <mergeCell ref="H11:N11"/>
    <mergeCell ref="O11:P11"/>
    <mergeCell ref="Q11:Y12"/>
    <mergeCell ref="C40:F40"/>
    <mergeCell ref="G40:H40"/>
    <mergeCell ref="T40:Y40"/>
    <mergeCell ref="C37:F37"/>
    <mergeCell ref="G37:H37"/>
    <mergeCell ref="T37:Y37"/>
    <mergeCell ref="C38:F38"/>
    <mergeCell ref="G38:H38"/>
    <mergeCell ref="I38:S38"/>
    <mergeCell ref="T38:Y38"/>
    <mergeCell ref="T39:Y39"/>
    <mergeCell ref="I40:S40"/>
    <mergeCell ref="I39:S39"/>
    <mergeCell ref="M37:S37"/>
    <mergeCell ref="I37:K37"/>
    <mergeCell ref="C36:F36"/>
    <mergeCell ref="G36:H36"/>
    <mergeCell ref="I36:K36"/>
    <mergeCell ref="T36:Y36"/>
    <mergeCell ref="R30:S30"/>
    <mergeCell ref="T30:Y31"/>
    <mergeCell ref="C32:F32"/>
    <mergeCell ref="C39:F39"/>
    <mergeCell ref="G39:H39"/>
    <mergeCell ref="G32:H32"/>
    <mergeCell ref="I32:K32"/>
    <mergeCell ref="L32:Q32"/>
    <mergeCell ref="T32:Y32"/>
    <mergeCell ref="C30:F31"/>
    <mergeCell ref="G30:H31"/>
    <mergeCell ref="I30:K31"/>
    <mergeCell ref="L30:Q31"/>
    <mergeCell ref="C35:F35"/>
    <mergeCell ref="G35:S35"/>
    <mergeCell ref="T35:Y35"/>
    <mergeCell ref="M36:S36"/>
  </mergeCells>
  <phoneticPr fontId="12"/>
  <conditionalFormatting sqref="O13:O14">
    <cfRule type="expression" dxfId="44" priority="1">
      <formula>$AB$5=8</formula>
    </cfRule>
  </conditionalFormatting>
  <conditionalFormatting sqref="P13:P14">
    <cfRule type="expression" dxfId="43" priority="2">
      <formula>$AB$5=8</formula>
    </cfRule>
  </conditionalFormatting>
  <printOptions horizontalCentered="1" verticalCentered="1"/>
  <pageMargins left="0.51181102362204722" right="0.51181102362204722" top="0.47244094488188981" bottom="0.11811023622047245" header="0.31496062992125984" footer="0"/>
  <pageSetup paperSize="9" scale="55" orientation="landscape" verticalDpi="0" r:id="rId1"/>
  <headerFooter>
    <oddHeader>&amp;R&amp;"BIZ UDPゴシック,標準"Ver. 1.0</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751D8-7240-45B6-AE25-3450EE4043A1}">
  <sheetPr codeName="Sheet2">
    <tabColor theme="0" tint="-0.14999847407452621"/>
  </sheetPr>
  <dimension ref="B1:I10"/>
  <sheetViews>
    <sheetView workbookViewId="0">
      <selection activeCell="F8" sqref="F8"/>
    </sheetView>
  </sheetViews>
  <sheetFormatPr defaultRowHeight="13.5"/>
  <cols>
    <col min="1" max="1" width="9" style="1"/>
    <col min="2" max="2" width="18.625" style="1" bestFit="1" customWidth="1"/>
    <col min="3" max="3" width="21.5" style="1" bestFit="1" customWidth="1"/>
    <col min="4" max="5" width="21.625" style="1" bestFit="1" customWidth="1"/>
    <col min="6" max="6" width="21.625" style="1" customWidth="1"/>
    <col min="7" max="7" width="13.25" style="1" bestFit="1" customWidth="1"/>
    <col min="8" max="8" width="19.25" style="1" bestFit="1" customWidth="1"/>
    <col min="9" max="9" width="15.25" style="1" bestFit="1" customWidth="1"/>
    <col min="10" max="16384" width="9" style="1"/>
  </cols>
  <sheetData>
    <row r="1" spans="2:9">
      <c r="B1" s="25"/>
      <c r="C1" s="25"/>
      <c r="D1" s="25" t="s">
        <v>5</v>
      </c>
      <c r="E1" s="25"/>
      <c r="F1" s="25"/>
      <c r="G1" s="25"/>
      <c r="H1" s="25"/>
      <c r="I1" s="25"/>
    </row>
    <row r="2" spans="2:9">
      <c r="B2" s="25"/>
      <c r="C2" s="25"/>
      <c r="D2" s="25" t="s">
        <v>6</v>
      </c>
      <c r="E2" s="25"/>
      <c r="F2" s="25"/>
      <c r="G2" s="25"/>
      <c r="H2" s="25"/>
      <c r="I2" s="25"/>
    </row>
    <row r="3" spans="2:9">
      <c r="B3" s="25"/>
      <c r="C3" s="25"/>
      <c r="D3" s="25" t="s">
        <v>7</v>
      </c>
      <c r="E3" s="25"/>
      <c r="F3" s="25"/>
      <c r="G3" s="25"/>
      <c r="H3" s="25"/>
      <c r="I3" s="25"/>
    </row>
    <row r="4" spans="2:9">
      <c r="B4" s="25"/>
      <c r="C4" s="25"/>
      <c r="D4" s="25" t="s">
        <v>8</v>
      </c>
      <c r="E4" s="25" t="s">
        <v>9</v>
      </c>
      <c r="F4" s="25"/>
      <c r="G4" s="25"/>
      <c r="H4" s="25"/>
      <c r="I4" s="25"/>
    </row>
    <row r="5" spans="2:9" ht="40.5">
      <c r="B5" s="25"/>
      <c r="C5" s="25"/>
      <c r="D5" s="25"/>
      <c r="E5" s="26"/>
      <c r="F5" s="26" t="s">
        <v>55</v>
      </c>
      <c r="G5" s="25"/>
      <c r="H5" s="25"/>
      <c r="I5" s="25"/>
    </row>
    <row r="6" spans="2:9" ht="40.5">
      <c r="B6" s="25"/>
      <c r="C6" s="25"/>
      <c r="D6" s="25"/>
      <c r="E6" s="26"/>
      <c r="F6" s="26" t="s">
        <v>56</v>
      </c>
      <c r="G6" s="25"/>
      <c r="H6" s="25"/>
      <c r="I6" s="25"/>
    </row>
    <row r="7" spans="2:9">
      <c r="B7" s="25" t="s">
        <v>54</v>
      </c>
      <c r="C7" s="25" t="s">
        <v>228</v>
      </c>
      <c r="D7" s="25" t="s">
        <v>20</v>
      </c>
      <c r="E7" s="25"/>
      <c r="F7" s="25"/>
      <c r="G7" s="25" t="s">
        <v>60</v>
      </c>
      <c r="H7" s="25" t="s">
        <v>3904</v>
      </c>
      <c r="I7" s="25" t="s">
        <v>3912</v>
      </c>
    </row>
    <row r="8" spans="2:9">
      <c r="B8" s="1" t="s">
        <v>53</v>
      </c>
      <c r="C8" s="1" t="s">
        <v>229</v>
      </c>
      <c r="D8" s="1" t="s">
        <v>57</v>
      </c>
      <c r="E8" s="1" t="s">
        <v>57</v>
      </c>
      <c r="F8" s="1" t="s">
        <v>490</v>
      </c>
      <c r="G8" s="1" t="s">
        <v>493</v>
      </c>
      <c r="H8" s="1" t="s">
        <v>229</v>
      </c>
      <c r="I8" s="1" t="s">
        <v>229</v>
      </c>
    </row>
    <row r="9" spans="2:9">
      <c r="B9" s="149" t="s">
        <v>489</v>
      </c>
      <c r="C9" s="1" t="s">
        <v>230</v>
      </c>
      <c r="D9" s="1" t="s">
        <v>58</v>
      </c>
      <c r="E9" s="1" t="s">
        <v>58</v>
      </c>
      <c r="F9" s="1" t="s">
        <v>491</v>
      </c>
      <c r="G9" s="1" t="s">
        <v>494</v>
      </c>
      <c r="H9" s="1" t="s">
        <v>3911</v>
      </c>
      <c r="I9" s="1" t="s">
        <v>3913</v>
      </c>
    </row>
    <row r="10" spans="2:9">
      <c r="D10" s="1" t="s">
        <v>59</v>
      </c>
    </row>
  </sheetData>
  <phoneticPr fontId="1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25</vt:i4>
      </vt:variant>
    </vt:vector>
  </HeadingPairs>
  <TitlesOfParts>
    <vt:vector size="41" baseType="lpstr">
      <vt:lpstr>本ツールについて</vt:lpstr>
      <vt:lpstr>A 最初に入力してください　基本情報</vt:lpstr>
      <vt:lpstr>B 仕様入力シート　１２３４地域</vt:lpstr>
      <vt:lpstr>窓のプルダウン_非表示</vt:lpstr>
      <vt:lpstr>B 仕様入力シート　５６７地域</vt:lpstr>
      <vt:lpstr>B 仕様入力シート　８地域</vt:lpstr>
      <vt:lpstr>非表示_出力帳票へのリンク</vt:lpstr>
      <vt:lpstr>C 仕様表（仕様基準）</vt:lpstr>
      <vt:lpstr>プルダウン項目_非表示</vt:lpstr>
      <vt:lpstr>ドアのプルダウン_非表示</vt:lpstr>
      <vt:lpstr>断熱材_非表示</vt:lpstr>
      <vt:lpstr>仕様基準-省エネ基準_非表示</vt:lpstr>
      <vt:lpstr>設備メモ_非表示</vt:lpstr>
      <vt:lpstr>登録値_断熱材λ値</vt:lpstr>
      <vt:lpstr>登録値_窓、ドアのU値､ηd値</vt:lpstr>
      <vt:lpstr>改定後_地域区分_非表示</vt:lpstr>
      <vt:lpstr>'B 仕様入力シート　１２３４地域'!Print_Area</vt:lpstr>
      <vt:lpstr>都道府県名</vt:lpstr>
      <vt:lpstr>島根県</vt:lpstr>
      <vt:lpstr>東京都</vt:lpstr>
      <vt:lpstr>徳島県</vt:lpstr>
      <vt:lpstr>栃木県</vt:lpstr>
      <vt:lpstr>奈良県</vt:lpstr>
      <vt:lpstr>二層複層ガラス_Low_E</vt:lpstr>
      <vt:lpstr>二層複層ガラス_一般</vt:lpstr>
      <vt:lpstr>富山県</vt:lpstr>
      <vt:lpstr>福井県</vt:lpstr>
      <vt:lpstr>福岡県</vt:lpstr>
      <vt:lpstr>福島県</vt:lpstr>
      <vt:lpstr>複合材料製</vt:lpstr>
      <vt:lpstr>複合材料製_金属製ハニカムフラッシュ構造_ドア内ガラスあり</vt:lpstr>
      <vt:lpstr>複合材料製_金属製ハニカムフラッシュ構造_ドア内ガラスなし</vt:lpstr>
      <vt:lpstr>複合材料製_金属製フラッシュ構造_ドア内ガラスあり</vt:lpstr>
      <vt:lpstr>複合材料製_金属製フラッシュ構造_ドア内ガラスなし</vt:lpstr>
      <vt:lpstr>複合材料製_金属製高断熱フラッシュ構造_ドア内ガラスあり</vt:lpstr>
      <vt:lpstr>複合材料製_金属製高断熱フラッシュ構造_ドア内ガラスなし</vt:lpstr>
      <vt:lpstr>複合材料製_金属製断熱フラッシュ構造_ドア内ガラスあり</vt:lpstr>
      <vt:lpstr>複合材料製_金属製断熱フラッシュ構造_ドア内ガラスなし</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土木建築部　建築住宅課</cp:lastModifiedBy>
  <cp:lastPrinted>2025-04-08T03:48:12Z</cp:lastPrinted>
  <dcterms:modified xsi:type="dcterms:W3CDTF">2025-04-08T03:48:14Z</dcterms:modified>
</cp:coreProperties>
</file>